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7715"/>
  <workbookPr showInkAnnotation="0" autoCompressPictures="0"/>
  <mc:AlternateContent xmlns:mc="http://schemas.openxmlformats.org/markup-compatibility/2006">
    <mc:Choice Requires="x15">
      <x15ac:absPath xmlns:x15ac="http://schemas.microsoft.com/office/spreadsheetml/2010/11/ac" url="/Users/gobas/Documents/Texts/Activity/Activity Calculator WebSite/"/>
    </mc:Choice>
  </mc:AlternateContent>
  <bookViews>
    <workbookView xWindow="760" yWindow="460" windowWidth="27980" windowHeight="16840" tabRatio="936"/>
  </bookViews>
  <sheets>
    <sheet name="Introduction" sheetId="9" r:id="rId1"/>
    <sheet name="Chemical Input Data" sheetId="2" r:id="rId2"/>
    <sheet name="General Parameters" sheetId="3" r:id="rId3"/>
    <sheet name="Gaseous Media" sheetId="4" r:id="rId4"/>
    <sheet name="Aqueous Media" sheetId="5" r:id="rId5"/>
    <sheet name="Biological Media" sheetId="6" r:id="rId6"/>
    <sheet name="Particulate Media" sheetId="7" r:id="rId7"/>
    <sheet name="Solubility|Partition Coefficie " sheetId="8" r:id="rId8"/>
  </sheets>
  <definedNames>
    <definedName name="ActivityAir">'Gaseous Media'!$C$17</definedName>
    <definedName name="ActivityAq">'Aqueous Media'!$C$27</definedName>
    <definedName name="ActivityB">'Biological Media'!$C$26</definedName>
    <definedName name="ActivityPM">'Particulate Media'!$C$26</definedName>
    <definedName name="ChemName">'Chemical Input Data'!$C$4</definedName>
    <definedName name="ConcAir">'Gaseous Media'!$C$5</definedName>
    <definedName name="ConcAq">'Aqueous Media'!$C$19</definedName>
    <definedName name="ConcAqgL">'Aqueous Media'!$C$5</definedName>
    <definedName name="ConcB">'Biological Media'!$C$18</definedName>
    <definedName name="ConcBgkg">'Biological Media'!$C$5</definedName>
    <definedName name="ConcPM">'Particulate Media'!$C$18</definedName>
    <definedName name="ConcPMgkg">'Particulate Media'!$C$5</definedName>
    <definedName name="Cpa">'Gaseous Media'!$C$6</definedName>
    <definedName name="Cpw">'Aqueous Media'!$C$6</definedName>
    <definedName name="CWA">'Gaseous Media'!$C$8</definedName>
    <definedName name="db">'Biological Media'!$C$11</definedName>
    <definedName name="dbiota">'General Parameters'!#REF!</definedName>
    <definedName name="dHs">'Chemical Input Data'!$C$14</definedName>
    <definedName name="dHv">'Chemical Input Data'!$C$15</definedName>
    <definedName name="dlipid">'General Parameters'!$C$6</definedName>
    <definedName name="dOC">'General Parameters'!$C$7</definedName>
    <definedName name="dparticle">'General Parameters'!$C$9</definedName>
    <definedName name="dProtein">'General Parameters'!$C$8</definedName>
    <definedName name="dwater">'General Parameters'!$C$5</definedName>
    <definedName name="F">'Chemical Input Data'!$C$22</definedName>
    <definedName name="FugAir">'Gaseous Media'!$C$21</definedName>
    <definedName name="FugAq">'Aqueous Media'!$C$31</definedName>
    <definedName name="FugB">'Biological Media'!$C$30</definedName>
    <definedName name="FugPM">'Particulate Media'!$C$30</definedName>
    <definedName name="Hlaw">'Chemical Input Data'!$C$35</definedName>
    <definedName name="HlawT">'Chemical Input Data'!$C$36</definedName>
    <definedName name="Kaw">'Chemical Input Data'!$C$37</definedName>
    <definedName name="KawT">'Chemical Input Data'!$C$38</definedName>
    <definedName name="LCaq">'Aqueous Media'!$C$8</definedName>
    <definedName name="LcB">'Biological Media'!$C$6</definedName>
    <definedName name="logKLW">'Chemical Input Data'!$C$18</definedName>
    <definedName name="logKoa">'Chemical Input Data'!$C$42</definedName>
    <definedName name="logKoc">'Chemical Input Data'!$C$17</definedName>
    <definedName name="logKow">'Chemical Input Data'!$C$10</definedName>
    <definedName name="logKPRW">'Chemical Input Data'!$C$19</definedName>
    <definedName name="Mcpp">'Particulate Media'!$C$10</definedName>
    <definedName name="MV">'Chemical Input Data'!#REF!</definedName>
    <definedName name="MW">'Chemical Input Data'!$C$9</definedName>
    <definedName name="OcB">'Biological Media'!$C$8</definedName>
    <definedName name="Ocpa">'Gaseous Media'!$C$7</definedName>
    <definedName name="Ocpp">'Particulate Media'!$C$6</definedName>
    <definedName name="Ocpw">'Aqueous Media'!$C$7</definedName>
    <definedName name="PCaq">'Aqueous Media'!$C$9</definedName>
    <definedName name="Phase">'Chemical Input Data'!$C$21</definedName>
    <definedName name="PrCB">'Biological Media'!$C$7</definedName>
    <definedName name="_xlnm.Print_Titles" localSheetId="1">'Chemical Input Data'!$3:$3</definedName>
    <definedName name="SalCor">'Aqueous Media'!$C$17</definedName>
    <definedName name="SalCorWPM">'Particulate Media'!$C$12</definedName>
    <definedName name="Salinity">'Aqueous Media'!$C$10</definedName>
    <definedName name="SalinityWPM">'Particulate Media'!$C$8</definedName>
    <definedName name="Sgas">'Chemical Input Data'!$C$32</definedName>
    <definedName name="SgasgL">'Chemical Input Data'!$C$31</definedName>
    <definedName name="SgasT">'Chemical Input Data'!$C$30</definedName>
    <definedName name="Slipid">'Chemical Input Data'!$C$48</definedName>
    <definedName name="SlipidT">'Chemical Input Data'!$C$49</definedName>
    <definedName name="SLS">'Chemical Input Data'!$C$23</definedName>
    <definedName name="Smineral">'General Parameters'!$C$11</definedName>
    <definedName name="So">'Chemical Input Data'!$C$40</definedName>
    <definedName name="Soc">'Chemical Input Data'!$C$45</definedName>
    <definedName name="SocT">'Chemical Input Data'!$C$46</definedName>
    <definedName name="SolAir">'Gaseous Media'!$C$14</definedName>
    <definedName name="SolAirT">'Gaseous Media'!$C$15</definedName>
    <definedName name="SolAq">'Aqueous Media'!$C$21</definedName>
    <definedName name="SolAqgL">'Aqueous Media'!$C$22</definedName>
    <definedName name="SolAqT">'Aqueous Media'!$C$24</definedName>
    <definedName name="SolB">'Biological Media'!$C$20</definedName>
    <definedName name="SolBgL">'Biological Media'!$C$21</definedName>
    <definedName name="SolBT">'Biological Media'!$C$23</definedName>
    <definedName name="SolBTgL">'Biological Media'!$C$24</definedName>
    <definedName name="SolPM">'Particulate Media'!$C$20</definedName>
    <definedName name="SolPMgL">'Particulate Media'!$C$21</definedName>
    <definedName name="SolPMT">'Particulate Media'!$C$23</definedName>
    <definedName name="SolPMTgL">'Particulate Media'!$C$24</definedName>
    <definedName name="SoT">'Chemical Input Data'!$C$41</definedName>
    <definedName name="Sprotein">'Chemical Input Data'!$C$51</definedName>
    <definedName name="SproteinT">'Chemical Input Data'!$C$52</definedName>
    <definedName name="Sw">'Chemical Input Data'!$C$11</definedName>
    <definedName name="SwT">'Chemical Input Data'!$C$25</definedName>
    <definedName name="SwTgL">'Chemical Input Data'!$C$26</definedName>
    <definedName name="T">'Chemical Input Data'!$C$6</definedName>
    <definedName name="TempCor">'Chemical Input Data'!$C$27</definedName>
    <definedName name="TempCorAir">'Chemical Input Data'!$C$33</definedName>
    <definedName name="Tm">'Chemical Input Data'!$C$13</definedName>
    <definedName name="Tstandard">'Chemical Input Data'!$C$7</definedName>
    <definedName name="VFAA">'Gaseous Media'!$C$12</definedName>
    <definedName name="VFLB">'Biological Media'!$C$13</definedName>
    <definedName name="VFLW">'Aqueous Media'!$C$13</definedName>
    <definedName name="VFMP">'Particulate Media'!$C$16</definedName>
    <definedName name="VFOCB">'Biological Media'!$C$15</definedName>
    <definedName name="VFPA">'Gaseous Media'!$C$10</definedName>
    <definedName name="VFPP">'Particulate Media'!$C$14</definedName>
    <definedName name="VFPRB">'Biological Media'!$C$14</definedName>
    <definedName name="VFPRW">'Aqueous Media'!$C$14</definedName>
    <definedName name="VFPW">'Aqueous Media'!$C$12</definedName>
    <definedName name="VFWA">'Gaseous Media'!$C$11</definedName>
    <definedName name="VFWB">'Biological Media'!$C$16</definedName>
    <definedName name="VFWP">'Particulate Media'!$C$15</definedName>
    <definedName name="VFWW">'Aqueous Media'!$C$15</definedName>
    <definedName name="VP">'Chemical Input Data'!$C$12</definedName>
    <definedName name="VPT">'Chemical Input Data'!$C$29</definedName>
    <definedName name="WcB">'Biological Media'!$C$9</definedName>
    <definedName name="Wcpp">'Particulate Media'!$C$7</definedName>
    <definedName name="Zair">'Gaseous Media'!$C$19</definedName>
    <definedName name="Zaq">'Chemical Input Data'!#REF!</definedName>
    <definedName name="ZPM">'Particulate Media'!$C$28</definedName>
  </definedNames>
  <calcPr calcId="150001" concurrentCalc="0"/>
  <customWorkbookViews>
    <customWorkbookView name="Laura Tupper-Ring - Personal View" guid="{82F232E5-57E6-2D41-958D-D8709BEC5D76}" mergeInterval="0" personalView="1" xWindow="24" yWindow="59" windowWidth="1394" windowHeight="806" tabRatio="711" activeSheetId="9" showComments="commIndAndComment"/>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C9" i="6" l="1"/>
  <c r="C21" i="2"/>
  <c r="C22" i="2"/>
  <c r="C33" i="2"/>
  <c r="C29" i="2"/>
  <c r="C30" i="2"/>
  <c r="C10" i="4"/>
  <c r="C11" i="4"/>
  <c r="C12" i="4"/>
  <c r="E17" i="2"/>
  <c r="C17" i="2"/>
  <c r="C27" i="2"/>
  <c r="C25" i="2"/>
  <c r="C46" i="2"/>
  <c r="C15" i="4"/>
  <c r="C17" i="4"/>
  <c r="C21" i="4"/>
  <c r="C10" i="7"/>
  <c r="C6" i="3"/>
  <c r="C8" i="3"/>
  <c r="C5" i="3"/>
  <c r="C11" i="6"/>
  <c r="C18" i="6"/>
  <c r="C15" i="6"/>
  <c r="C14" i="6"/>
  <c r="C13" i="6"/>
  <c r="C17" i="5"/>
  <c r="C40" i="2"/>
  <c r="B22" i="8"/>
  <c r="B23" i="8"/>
  <c r="C32" i="2"/>
  <c r="C45" i="2"/>
  <c r="C14" i="4"/>
  <c r="E18" i="2"/>
  <c r="C18" i="2"/>
  <c r="C41" i="2"/>
  <c r="C23" i="8"/>
  <c r="C21" i="8"/>
  <c r="B21" i="8"/>
  <c r="C10" i="8"/>
  <c r="B10" i="8"/>
  <c r="C31" i="2"/>
  <c r="C26" i="2"/>
  <c r="B3" i="8"/>
  <c r="B6" i="8"/>
  <c r="C6" i="8"/>
  <c r="B8" i="8"/>
  <c r="C8" i="8"/>
  <c r="B9" i="8"/>
  <c r="C9" i="8"/>
  <c r="B11" i="8"/>
  <c r="C11" i="8"/>
  <c r="B26" i="8"/>
  <c r="C26" i="8"/>
  <c r="C48" i="2"/>
  <c r="B13" i="8"/>
  <c r="C49" i="2"/>
  <c r="C13" i="8"/>
  <c r="E19" i="2"/>
  <c r="C19" i="2"/>
  <c r="C51" i="2"/>
  <c r="B14" i="8"/>
  <c r="C52" i="2"/>
  <c r="C14" i="8"/>
  <c r="B18" i="8"/>
  <c r="C18" i="8"/>
  <c r="B20" i="8"/>
  <c r="C20" i="8"/>
  <c r="C22" i="8"/>
  <c r="B24" i="8"/>
  <c r="C24" i="8"/>
  <c r="B25" i="8"/>
  <c r="B27" i="8"/>
  <c r="C27" i="8"/>
  <c r="B28" i="8"/>
  <c r="C28" i="8"/>
  <c r="C12" i="7"/>
  <c r="C14" i="7"/>
  <c r="C15" i="7"/>
  <c r="C16" i="7"/>
  <c r="C18" i="7"/>
  <c r="C20" i="7"/>
  <c r="C21" i="7"/>
  <c r="C23" i="7"/>
  <c r="C24" i="7"/>
  <c r="C26" i="7"/>
  <c r="C30" i="7"/>
  <c r="C28" i="7"/>
  <c r="C16" i="6"/>
  <c r="C20" i="6"/>
  <c r="C21" i="6"/>
  <c r="C23" i="6"/>
  <c r="C24" i="6"/>
  <c r="C26" i="6"/>
  <c r="C30" i="6"/>
  <c r="C28" i="6"/>
  <c r="C12" i="5"/>
  <c r="C13" i="5"/>
  <c r="C14" i="5"/>
  <c r="C15" i="5"/>
  <c r="C19" i="5"/>
  <c r="C21" i="5"/>
  <c r="C22" i="5"/>
  <c r="C24" i="5"/>
  <c r="C25" i="5"/>
  <c r="C27" i="5"/>
  <c r="C31" i="5"/>
  <c r="C29" i="5"/>
  <c r="C19" i="4"/>
  <c r="C23" i="2"/>
  <c r="C35" i="2"/>
  <c r="C36" i="2"/>
  <c r="C37" i="2"/>
  <c r="C38" i="2"/>
  <c r="C42" i="2"/>
  <c r="C43" i="2"/>
  <c r="C25" i="8"/>
  <c r="C12" i="8"/>
  <c r="B12" i="8"/>
</calcChain>
</file>

<file path=xl/comments1.xml><?xml version="1.0" encoding="utf-8"?>
<comments xmlns="http://schemas.openxmlformats.org/spreadsheetml/2006/main">
  <authors>
    <author>Frank Gobas</author>
  </authors>
  <commentList>
    <comment ref="B6" authorId="0">
      <text>
        <r>
          <rPr>
            <b/>
            <sz val="9"/>
            <color indexed="81"/>
            <rFont val="Geneva"/>
          </rPr>
          <t>Frank Gobas:</t>
        </r>
        <r>
          <rPr>
            <sz val="9"/>
            <color indexed="81"/>
            <rFont val="Geneva"/>
          </rPr>
          <t xml:space="preserve">
Enter the Temperature of the medium for which you determine the thermodynamic activity. E.g 15.</t>
        </r>
      </text>
    </comment>
    <comment ref="B7" authorId="0">
      <text>
        <r>
          <rPr>
            <b/>
            <sz val="9"/>
            <color indexed="81"/>
            <rFont val="Geneva"/>
          </rPr>
          <t>Frank Gobas:</t>
        </r>
        <r>
          <rPr>
            <sz val="9"/>
            <color indexed="81"/>
            <rFont val="Geneva"/>
          </rPr>
          <t xml:space="preserve">
Normally, the standard temperature is 25 degrees celsius. You can use another temperature if you wish. Use the temperature at which the physical chemical properties are measured.</t>
        </r>
      </text>
    </comment>
    <comment ref="B13" authorId="0">
      <text>
        <r>
          <rPr>
            <b/>
            <sz val="9"/>
            <color indexed="81"/>
            <rFont val="Geneva"/>
          </rPr>
          <t>Frank Gobas:</t>
        </r>
        <r>
          <rPr>
            <sz val="9"/>
            <color indexed="81"/>
            <rFont val="Geneva"/>
          </rPr>
          <t xml:space="preserve">
If the chemical is a solid at the environmental temperature, enter the melting point of the chemical. If the chemical is a liquid at the environmental temperarture, you can enter na.</t>
        </r>
      </text>
    </comment>
    <comment ref="B14" authorId="0">
      <text>
        <r>
          <rPr>
            <b/>
            <sz val="9"/>
            <color indexed="81"/>
            <rFont val="Geneva"/>
          </rPr>
          <t>Frank Gobas:</t>
        </r>
        <r>
          <rPr>
            <sz val="9"/>
            <color indexed="81"/>
            <rFont val="Geneva"/>
          </rPr>
          <t xml:space="preserve">
Enter the enthalpy of solution for the liquid or subcooled liquid. The enthalpy of solution refers to the transfer of chemical from the pure chemical liquid or subcooled liquid to the water. If unavailable, use 0, which assumes that the solubility of the chemical in water is not a function of temperature.
</t>
        </r>
      </text>
    </comment>
    <comment ref="B15" authorId="0">
      <text>
        <r>
          <rPr>
            <b/>
            <sz val="9"/>
            <color indexed="81"/>
            <rFont val="Geneva"/>
          </rPr>
          <t>Frank Gobas:</t>
        </r>
        <r>
          <rPr>
            <sz val="9"/>
            <color indexed="81"/>
            <rFont val="Geneva"/>
          </rPr>
          <t xml:space="preserve">
Enter the enthalpy of vaporization for the liquid or subcooled liquid. The enthalpy of vaporization refers to the transfer of chemical from the pure chemical liquid or subcooled liquid to the gas phase. If unavailable, use 0, which assumes that the transfer of chemical from the pure liquid or subcooled liquid to the air phase is not a function of temperature.</t>
        </r>
      </text>
    </comment>
    <comment ref="B17" authorId="0">
      <text>
        <r>
          <rPr>
            <b/>
            <sz val="9"/>
            <color indexed="81"/>
            <rFont val="Geneva"/>
          </rPr>
          <t>Frank Gobas:</t>
        </r>
        <r>
          <rPr>
            <sz val="9"/>
            <color indexed="81"/>
            <rFont val="Geneva"/>
          </rPr>
          <t xml:space="preserve">
Change if reliable Koc data are available for the chemical. If unavailable use the default value which assumes that Koc = 0.35 x Kow (Seth and Mackay 1999).</t>
        </r>
      </text>
    </comment>
    <comment ref="B18" authorId="0">
      <text>
        <r>
          <rPr>
            <b/>
            <sz val="9"/>
            <color indexed="81"/>
            <rFont val="Geneva"/>
          </rPr>
          <t>Frank Gobas:</t>
        </r>
        <r>
          <rPr>
            <sz val="9"/>
            <color indexed="81"/>
            <rFont val="Geneva"/>
          </rPr>
          <t xml:space="preserve">
Change if reliable lipid-water Partition Coefficient data are available for the chemical. If unavailable use the default value which assumes that KLW = Kow.</t>
        </r>
      </text>
    </comment>
    <comment ref="B19" authorId="0">
      <text>
        <r>
          <rPr>
            <b/>
            <sz val="9"/>
            <color indexed="81"/>
            <rFont val="Geneva"/>
          </rPr>
          <t>Frank Gobas:</t>
        </r>
        <r>
          <rPr>
            <sz val="9"/>
            <color indexed="81"/>
            <rFont val="Geneva"/>
          </rPr>
          <t xml:space="preserve">
Change if reliable Protein-Water Partition Coefficient data are available for the chemical. If unavailable use the default value which assumes that the protein water partition coefficient is  0.05 x Kow (DeBruyn and Gobas 2006).</t>
        </r>
      </text>
    </comment>
  </commentList>
</comments>
</file>

<file path=xl/comments2.xml><?xml version="1.0" encoding="utf-8"?>
<comments xmlns="http://schemas.openxmlformats.org/spreadsheetml/2006/main">
  <authors>
    <author>Frank Gobas</author>
  </authors>
  <commentList>
    <comment ref="B8" authorId="0">
      <text>
        <r>
          <rPr>
            <b/>
            <sz val="9"/>
            <color indexed="81"/>
            <rFont val="Geneva"/>
          </rPr>
          <t>Frank Gobas:</t>
        </r>
        <r>
          <rPr>
            <sz val="9"/>
            <color indexed="81"/>
            <rFont val="Geneva"/>
          </rPr>
          <t xml:space="preserve">
For biological aqueous media (e.g. blood) enter the lipid content. Otherwise enter 0.</t>
        </r>
      </text>
    </comment>
    <comment ref="B9" authorId="0">
      <text>
        <r>
          <rPr>
            <b/>
            <sz val="9"/>
            <color indexed="81"/>
            <rFont val="Geneva"/>
          </rPr>
          <t>Frank Gobas:</t>
        </r>
        <r>
          <rPr>
            <sz val="9"/>
            <color indexed="81"/>
            <rFont val="Geneva"/>
          </rPr>
          <t xml:space="preserve">
For biological aqueous media (e.g. blood) enter the protein content. Otherwise enter 0.</t>
        </r>
      </text>
    </comment>
    <comment ref="B10" authorId="0">
      <text>
        <r>
          <rPr>
            <b/>
            <sz val="9"/>
            <color indexed="81"/>
            <rFont val="Geneva"/>
          </rPr>
          <t>Frank Gobas:</t>
        </r>
        <r>
          <rPr>
            <sz val="9"/>
            <color indexed="81"/>
            <rFont val="Geneva"/>
          </rPr>
          <t xml:space="preserve">
For fresh water enter na or 0. For saltwater enter the molarity of NaCl. Saltwater has in many cases a NaCl molarity between 0.3 and 0.6 mol/L.</t>
        </r>
      </text>
    </comment>
  </commentList>
</comments>
</file>

<file path=xl/comments3.xml><?xml version="1.0" encoding="utf-8"?>
<comments xmlns="http://schemas.openxmlformats.org/spreadsheetml/2006/main">
  <authors>
    <author>Frank Gobas</author>
  </authors>
  <commentList>
    <comment ref="B8" authorId="0">
      <text>
        <r>
          <rPr>
            <b/>
            <sz val="9"/>
            <color indexed="81"/>
            <rFont val="Geneva"/>
          </rPr>
          <t>Frank Gobas:</t>
        </r>
        <r>
          <rPr>
            <sz val="9"/>
            <color indexed="81"/>
            <rFont val="Geneva"/>
          </rPr>
          <t xml:space="preserve">
For tissues from consumer organisms, use 0. For vegetation enter the appropriate value.</t>
        </r>
      </text>
    </comment>
  </commentList>
</comments>
</file>

<file path=xl/sharedStrings.xml><?xml version="1.0" encoding="utf-8"?>
<sst xmlns="http://schemas.openxmlformats.org/spreadsheetml/2006/main" count="633" uniqueCount="276">
  <si>
    <t>Chemical Name:</t>
  </si>
  <si>
    <t xml:space="preserve">Units </t>
  </si>
  <si>
    <t xml:space="preserve">Value </t>
  </si>
  <si>
    <t>Molecular Weight</t>
  </si>
  <si>
    <t>Pa</t>
  </si>
  <si>
    <t>Hlaw</t>
  </si>
  <si>
    <t>Sw</t>
  </si>
  <si>
    <t xml:space="preserve"> </t>
  </si>
  <si>
    <t>unitless</t>
  </si>
  <si>
    <t xml:space="preserve">Cell name </t>
  </si>
  <si>
    <t>Action</t>
  </si>
  <si>
    <t>Chemical Properties</t>
  </si>
  <si>
    <t>Melting Point</t>
  </si>
  <si>
    <t>Tm</t>
  </si>
  <si>
    <t>logKow</t>
  </si>
  <si>
    <t>log Kow</t>
  </si>
  <si>
    <t>logKoa</t>
  </si>
  <si>
    <t>F</t>
  </si>
  <si>
    <t>Calculated</t>
  </si>
  <si>
    <t>Default Value</t>
  </si>
  <si>
    <t>none</t>
  </si>
  <si>
    <t>MW</t>
  </si>
  <si>
    <t>VP</t>
  </si>
  <si>
    <t>Temperature</t>
  </si>
  <si>
    <t>T</t>
  </si>
  <si>
    <t>Phase Characteristics</t>
  </si>
  <si>
    <t>Phase</t>
  </si>
  <si>
    <t>So</t>
  </si>
  <si>
    <t>Air-Water Partition Coefficient</t>
  </si>
  <si>
    <t>Kaw</t>
  </si>
  <si>
    <t>SLS</t>
  </si>
  <si>
    <t>Aqueous Media</t>
  </si>
  <si>
    <t>dwater</t>
  </si>
  <si>
    <t>kg/L</t>
  </si>
  <si>
    <t>Salinity</t>
  </si>
  <si>
    <t>Concentration Particulate Matter</t>
  </si>
  <si>
    <t>Cpw</t>
  </si>
  <si>
    <t>Organic Carbon Content of Particulate Matter</t>
  </si>
  <si>
    <t>Ocpw</t>
  </si>
  <si>
    <t>Concentration Protein in Medium</t>
  </si>
  <si>
    <t>Concentration Lipid in Medium</t>
  </si>
  <si>
    <t>Particulate Media</t>
  </si>
  <si>
    <t>Organic Carbon Content of Medium</t>
  </si>
  <si>
    <t>Water Content of Medium</t>
  </si>
  <si>
    <t>log Koc</t>
  </si>
  <si>
    <t>logKoc</t>
  </si>
  <si>
    <t>Biological Media</t>
  </si>
  <si>
    <t>dparticle</t>
  </si>
  <si>
    <t>Mineral Content of Medium</t>
  </si>
  <si>
    <t>Protein Content of Medium</t>
  </si>
  <si>
    <t>Lipid Content of Medium</t>
  </si>
  <si>
    <t>L/kg oc</t>
  </si>
  <si>
    <t>Media Characteristics</t>
  </si>
  <si>
    <t>dlipid</t>
  </si>
  <si>
    <t>doc</t>
  </si>
  <si>
    <t>dprotein</t>
  </si>
  <si>
    <t>ConcAq</t>
  </si>
  <si>
    <t>SolAq</t>
  </si>
  <si>
    <t>ActivityAq</t>
  </si>
  <si>
    <t>Zaq</t>
  </si>
  <si>
    <t>FugAq</t>
  </si>
  <si>
    <t>Unitless</t>
  </si>
  <si>
    <t>kg.L-1</t>
  </si>
  <si>
    <t>g/mol</t>
  </si>
  <si>
    <t>mol/m3</t>
  </si>
  <si>
    <t>Pa.m3/mol</t>
  </si>
  <si>
    <t>kg lipid/L</t>
  </si>
  <si>
    <t>LCaq</t>
  </si>
  <si>
    <t>PCaq</t>
  </si>
  <si>
    <t>Volume Fraction Particulate Matter</t>
  </si>
  <si>
    <t>L/L</t>
  </si>
  <si>
    <t>VFPW</t>
  </si>
  <si>
    <t>Volume Fraction Lipid</t>
  </si>
  <si>
    <t>VFLW</t>
  </si>
  <si>
    <t>Volume Fraction Protein</t>
  </si>
  <si>
    <t>VFPRW</t>
  </si>
  <si>
    <t>Volume Fraction Water</t>
  </si>
  <si>
    <t>VFWW</t>
  </si>
  <si>
    <t>logKLW</t>
  </si>
  <si>
    <t>log K Lipid-water</t>
  </si>
  <si>
    <t>log K protein-water</t>
  </si>
  <si>
    <t>logKPRW</t>
  </si>
  <si>
    <t>kg OC/kg Particle</t>
  </si>
  <si>
    <t>g/L</t>
  </si>
  <si>
    <t>SolAq g/L</t>
  </si>
  <si>
    <t>mol.m3/Pa</t>
  </si>
  <si>
    <t>kg/kg</t>
  </si>
  <si>
    <t>mol/L</t>
  </si>
  <si>
    <t>Salinity Correction</t>
  </si>
  <si>
    <t>na</t>
  </si>
  <si>
    <t>dHs</t>
  </si>
  <si>
    <t>kJ/mol</t>
  </si>
  <si>
    <t>Gaseous Media</t>
  </si>
  <si>
    <t>ConcAir</t>
  </si>
  <si>
    <t>Cpa</t>
  </si>
  <si>
    <t>Ocpa</t>
  </si>
  <si>
    <t>VFPA</t>
  </si>
  <si>
    <t>VFWA</t>
  </si>
  <si>
    <t>CWA</t>
  </si>
  <si>
    <t>Chemical Concentration in Air</t>
  </si>
  <si>
    <t>Volume Fraction Air</t>
  </si>
  <si>
    <t>VFAA</t>
  </si>
  <si>
    <t>SolAir</t>
  </si>
  <si>
    <t>Sgas</t>
  </si>
  <si>
    <t>Concentration Liquid Water in Air</t>
  </si>
  <si>
    <t>dHv</t>
  </si>
  <si>
    <t>Enthalpy of Solution for the liquid or subcooled liquid</t>
  </si>
  <si>
    <t>TempCorAir</t>
  </si>
  <si>
    <t>HlawT</t>
  </si>
  <si>
    <t>Fugacity Ratio at Environmental Temperature</t>
  </si>
  <si>
    <t>Subcooled Liquid Solubility at Environmental Temperature</t>
  </si>
  <si>
    <t>SwT</t>
  </si>
  <si>
    <t>TempCor</t>
  </si>
  <si>
    <t>Temperature Correction Aqueous Solubility</t>
  </si>
  <si>
    <t>SwTgL</t>
  </si>
  <si>
    <t>VPT</t>
  </si>
  <si>
    <t>SgasgL</t>
  </si>
  <si>
    <t>Henry's Law Constant at Environmental temperature</t>
  </si>
  <si>
    <t>KawT</t>
  </si>
  <si>
    <t>Air-Water Partition Coefficient at Standard Temperature</t>
  </si>
  <si>
    <t>Standard Temperature</t>
  </si>
  <si>
    <t>Category</t>
  </si>
  <si>
    <t>SoT</t>
  </si>
  <si>
    <t>log Koa at Environmental temperature</t>
  </si>
  <si>
    <t>SgasT</t>
  </si>
  <si>
    <t>Air</t>
  </si>
  <si>
    <t>Water</t>
  </si>
  <si>
    <t>Organic</t>
  </si>
  <si>
    <t>Chemical Solubility in Gas Phase at Standard Temperature</t>
  </si>
  <si>
    <t>Kair-water</t>
  </si>
  <si>
    <t>Koctanol-water</t>
  </si>
  <si>
    <t>Koctanol-air</t>
  </si>
  <si>
    <t>Environmental Temperature</t>
  </si>
  <si>
    <t>Soc</t>
  </si>
  <si>
    <t>Organic Carbon</t>
  </si>
  <si>
    <t>SocT</t>
  </si>
  <si>
    <t>Korganic carbon-water</t>
  </si>
  <si>
    <t>Slipid</t>
  </si>
  <si>
    <t>SlipidT</t>
  </si>
  <si>
    <t>Sprotein</t>
  </si>
  <si>
    <t>SproteinT</t>
  </si>
  <si>
    <t>SolAqT</t>
  </si>
  <si>
    <t>SolAqT g/L</t>
  </si>
  <si>
    <t>SalCor</t>
  </si>
  <si>
    <t>Chemical Activity in Medium at Environmental Temperature</t>
  </si>
  <si>
    <t>Chemical Fugacity Capacity in Medium at Environmental Temperature</t>
  </si>
  <si>
    <t>Chemical Fugacity in Medium at Environmental Temperature</t>
  </si>
  <si>
    <t>SolAirT</t>
  </si>
  <si>
    <t>Chemical Activity in Air at Environmental Temperature</t>
  </si>
  <si>
    <t>Chemical Fugacity Capacity in Air at Environmental Temperature</t>
  </si>
  <si>
    <t>ActivityAir</t>
  </si>
  <si>
    <t>Zair</t>
  </si>
  <si>
    <t>Chemical Fugacity in Air at Environmental Temperature</t>
  </si>
  <si>
    <t>FugAir</t>
  </si>
  <si>
    <t>Excel Name</t>
  </si>
  <si>
    <t>Units</t>
  </si>
  <si>
    <t>Change if required</t>
  </si>
  <si>
    <t>Density of Organic Carbon Density</t>
  </si>
  <si>
    <t>Denisity of Protein</t>
  </si>
  <si>
    <t xml:space="preserve">Density of Water </t>
  </si>
  <si>
    <t>Density of Lipids</t>
  </si>
  <si>
    <t>Density of particulate matter</t>
  </si>
  <si>
    <t>Value</t>
  </si>
  <si>
    <t>Ocpp</t>
  </si>
  <si>
    <t>Wcpp</t>
  </si>
  <si>
    <t>Mcpp</t>
  </si>
  <si>
    <t>Volume Fraction of Organic Carbon in Particulate Matter</t>
  </si>
  <si>
    <t>Volume Fraction of Water in Particulate Matter</t>
  </si>
  <si>
    <t>Volume Fraction of Mineral Matter in Particulate Matter</t>
  </si>
  <si>
    <t>VFPP</t>
  </si>
  <si>
    <t>VFWP</t>
  </si>
  <si>
    <t>VFMP</t>
  </si>
  <si>
    <t>SolPM</t>
  </si>
  <si>
    <t>SolPMg/L</t>
  </si>
  <si>
    <t>Smineral</t>
  </si>
  <si>
    <t>SolPMT</t>
  </si>
  <si>
    <t>Chemical Concentration in Particulate Matter</t>
  </si>
  <si>
    <t>e.g. soil, sediment</t>
  </si>
  <si>
    <t>ConcPMgkg</t>
  </si>
  <si>
    <t>Chemical Concentration in Aqueous Medium</t>
  </si>
  <si>
    <t>ConcAqgl</t>
  </si>
  <si>
    <t>ConcPM</t>
  </si>
  <si>
    <t>g/kg</t>
  </si>
  <si>
    <t>ActivityPM</t>
  </si>
  <si>
    <t>SolPMTgL</t>
  </si>
  <si>
    <t>FugPM</t>
  </si>
  <si>
    <t>ZPM</t>
  </si>
  <si>
    <t>e.g. fish, rats, plants</t>
  </si>
  <si>
    <t>Volume Fraction of Organic Carbon in Biota</t>
  </si>
  <si>
    <t>Volume Fraction of Water in Biota</t>
  </si>
  <si>
    <t>Chemical Concentration in Biota</t>
  </si>
  <si>
    <t>ConcBgkg</t>
  </si>
  <si>
    <t>LcB</t>
  </si>
  <si>
    <t>PrCB</t>
  </si>
  <si>
    <t>OcB</t>
  </si>
  <si>
    <t>WcB</t>
  </si>
  <si>
    <t>Volume Fraction of Lipid in Biota</t>
  </si>
  <si>
    <t>VFLB</t>
  </si>
  <si>
    <t>VFWB</t>
  </si>
  <si>
    <t>Volume Fraction of Protein in Biota</t>
  </si>
  <si>
    <t>VFPRB</t>
  </si>
  <si>
    <t>VFOCB</t>
  </si>
  <si>
    <t>ConcB</t>
  </si>
  <si>
    <t>SolB</t>
  </si>
  <si>
    <t>SolBgL</t>
  </si>
  <si>
    <t>SolBT</t>
  </si>
  <si>
    <t>SolBTgL</t>
  </si>
  <si>
    <t>ActivityB</t>
  </si>
  <si>
    <t>FugB</t>
  </si>
  <si>
    <t>ZB</t>
  </si>
  <si>
    <t>Lipid</t>
  </si>
  <si>
    <t>Klipid-water</t>
  </si>
  <si>
    <t>Chemical name:</t>
  </si>
  <si>
    <t>Protein</t>
  </si>
  <si>
    <t>Kprotein-water</t>
  </si>
  <si>
    <t>As Entered</t>
  </si>
  <si>
    <t>None</t>
  </si>
  <si>
    <t>Characteristics</t>
  </si>
  <si>
    <t>e.g. water, blood</t>
  </si>
  <si>
    <t>e.g. Air</t>
  </si>
  <si>
    <t>Soubility of Chemical in Mineral Matter of Particles</t>
  </si>
  <si>
    <t>General Parameters</t>
  </si>
  <si>
    <t>Change if Required</t>
  </si>
  <si>
    <t>Enthalpy of Vaporization for the liquid or subcooled liquid</t>
  </si>
  <si>
    <t>Vapor Pressure at Environmental temperature</t>
  </si>
  <si>
    <t>Solubility in Octanol at Environmental temperature</t>
  </si>
  <si>
    <t>Solubility in Organic Carbon at Environmental temperature</t>
  </si>
  <si>
    <t>Solubility in Lipid at Environmental temperature</t>
  </si>
  <si>
    <t>Solubility in Protein at Environmental temperature</t>
  </si>
  <si>
    <t>Degrees Celsius</t>
  </si>
  <si>
    <t>Chemical A</t>
  </si>
  <si>
    <t>Enter  -------&gt;</t>
  </si>
  <si>
    <t xml:space="preserve"> Copyright © 23 November 2015: Gobas' Environmental Research Group at Simon Fraser University</t>
  </si>
  <si>
    <t>Salinity of Water Content in Particulate Matter</t>
  </si>
  <si>
    <t>SalinityWPM</t>
  </si>
  <si>
    <t>SalCorWPM</t>
  </si>
  <si>
    <t>Aqueous Solubility at Environmental Temperature (mol/m3)</t>
  </si>
  <si>
    <t>Aqueous Solubility at Environmental Temperature (g/L)</t>
  </si>
  <si>
    <t>Chemical Solubility in Gas Phase at Environmental Temperature (mol/m3)</t>
  </si>
  <si>
    <t>Chemical Solubility in Gas Phase at Environmental Temperature (g/L)</t>
  </si>
  <si>
    <t>Chemical Solubility in Biota at Environmental Temperature (mol/m3)</t>
  </si>
  <si>
    <t>Chemical Solubility in Biota at Environmental Temperature (g/L)</t>
  </si>
  <si>
    <t>Chemical Solubility in Particle at Environmental Temperature (mol/m3)</t>
  </si>
  <si>
    <t>Chemical Solubility in Particle at Environmental Temperature (g/L)</t>
  </si>
  <si>
    <t>Chemical Solubility in Medium at Environmental Temperature (mol/m3)</t>
  </si>
  <si>
    <t>Chemical Solubility in Medium at Environmental Temperature (g/L)</t>
  </si>
  <si>
    <t>TStandard</t>
  </si>
  <si>
    <t>Aqueous Solubility at Standard temperature</t>
  </si>
  <si>
    <t>Vapor Pressure at Standard temperature</t>
  </si>
  <si>
    <t>Henry's Law Constant at Standard temperature</t>
  </si>
  <si>
    <t>Solubility in Octanol at Standard temperature</t>
  </si>
  <si>
    <t>log Koa at Standard temperature</t>
  </si>
  <si>
    <t>Solubility in Organic Carbon at Standard temperature</t>
  </si>
  <si>
    <t>Solubility in Lipid at Standard temperature</t>
  </si>
  <si>
    <t>Solubility in Protein at Standard temperature</t>
  </si>
  <si>
    <t>Chemical Solubility in Air at Standard Temperature</t>
  </si>
  <si>
    <t>Chemical Solubility in Medium at Standard Temperature (mol/m3)</t>
  </si>
  <si>
    <t>Chemical Solubility in Medium at Standard Temperature (g/L)</t>
  </si>
  <si>
    <t>Chemical Solubility in Biota at Standard Temperature (mol/m3)</t>
  </si>
  <si>
    <t>Chemical Solubility in Biota at Standard Temperature (g/L)</t>
  </si>
  <si>
    <t>Chemical Solubility in Particle at Standard Temperature (mol/m3)</t>
  </si>
  <si>
    <t>Chemical Solubility in Particle at Standard Temperature (g/L)</t>
  </si>
  <si>
    <t xml:space="preserve">Summary of Media Specific Solubiliy and Parition Coefficients for the selected Chemical </t>
  </si>
  <si>
    <t>Chemical Solubility in Air at Environmental Temperature</t>
  </si>
  <si>
    <t xml:space="preserve">Media Specific Solubility </t>
  </si>
  <si>
    <t>(mol/m3)</t>
  </si>
  <si>
    <t>Partition Coefficient</t>
  </si>
  <si>
    <t xml:space="preserve"> (unitless)</t>
  </si>
  <si>
    <t>Salt Water</t>
  </si>
  <si>
    <t>Kair-salt water</t>
  </si>
  <si>
    <t>Koctanol-salt water</t>
  </si>
  <si>
    <t>Korganic carbon-salt water</t>
  </si>
  <si>
    <t>(Celsius)</t>
  </si>
  <si>
    <t>Density Biota</t>
  </si>
  <si>
    <t>db</t>
  </si>
  <si>
    <t>Temperature Correction Gas Phase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</si>
</sst>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 \ \ #,##0.??"/>
  </numFmts>
  <fonts count="41" x14ac:knownFonts="1">
    <font>
      <sz val="10"/>
      <name val="Arial"/>
    </font>
    <font>
      <b/>
      <sz val="12"/>
      <color indexed="10"/>
      <name val="Calibri"/>
      <family val="2"/>
    </font>
    <font>
      <sz val="11"/>
      <color indexed="8"/>
      <name val="Calibri"/>
      <family val="2"/>
    </font>
    <font>
      <sz val="8"/>
      <name val="Arial"/>
      <family val="2"/>
    </font>
    <font>
      <sz val="12"/>
      <color indexed="8"/>
      <name val="Calibri"/>
      <family val="2"/>
    </font>
    <font>
      <sz val="12"/>
      <name val="Calibri"/>
      <family val="2"/>
    </font>
    <font>
      <b/>
      <sz val="12"/>
      <color indexed="8"/>
      <name val="Calibri"/>
      <family val="2"/>
    </font>
    <font>
      <sz val="12"/>
      <color indexed="10"/>
      <name val="Calibri"/>
      <family val="2"/>
    </font>
    <font>
      <b/>
      <sz val="12"/>
      <name val="Calibri"/>
      <family val="2"/>
    </font>
    <font>
      <b/>
      <sz val="12"/>
      <color indexed="12"/>
      <name val="Calibri"/>
      <family val="2"/>
    </font>
    <font>
      <sz val="12"/>
      <name val="Arial"/>
      <family val="2"/>
    </font>
    <font>
      <sz val="10"/>
      <name val="Calibri"/>
      <family val="2"/>
    </font>
    <font>
      <sz val="12"/>
      <color indexed="23"/>
      <name val="Calibri"/>
      <family val="2"/>
    </font>
    <font>
      <sz val="12"/>
      <color indexed="23"/>
      <name val="Arial"/>
      <family val="2"/>
    </font>
    <font>
      <sz val="10"/>
      <color indexed="23"/>
      <name val="Arial"/>
      <family val="2"/>
    </font>
    <font>
      <b/>
      <sz val="12"/>
      <color indexed="23"/>
      <name val="Calibri"/>
      <family val="2"/>
    </font>
    <font>
      <sz val="12"/>
      <color indexed="12"/>
      <name val="Calibri"/>
      <family val="2"/>
    </font>
    <font>
      <b/>
      <u/>
      <sz val="12"/>
      <color indexed="8"/>
      <name val="Calibri"/>
      <family val="2"/>
    </font>
    <font>
      <b/>
      <u/>
      <sz val="12"/>
      <name val="Calibri"/>
      <family val="2"/>
    </font>
    <font>
      <b/>
      <u/>
      <sz val="12"/>
      <color indexed="23"/>
      <name val="Calibri"/>
      <family val="2"/>
    </font>
    <font>
      <sz val="10"/>
      <color indexed="23"/>
      <name val="Calibri"/>
      <family val="2"/>
    </font>
    <font>
      <sz val="9"/>
      <color indexed="81"/>
      <name val="Geneva"/>
    </font>
    <font>
      <b/>
      <sz val="9"/>
      <color indexed="81"/>
      <name val="Geneva"/>
    </font>
    <font>
      <b/>
      <sz val="12"/>
      <name val="Calibri"/>
      <family val="2"/>
      <scheme val="minor"/>
    </font>
    <font>
      <sz val="12"/>
      <name val="Calibri"/>
      <family val="2"/>
      <scheme val="minor"/>
    </font>
    <font>
      <sz val="10"/>
      <name val="Calibri"/>
      <family val="2"/>
      <scheme val="minor"/>
    </font>
    <font>
      <u/>
      <sz val="10"/>
      <color theme="10"/>
      <name val="Arial"/>
      <family val="2"/>
    </font>
    <font>
      <u/>
      <sz val="10"/>
      <color theme="11"/>
      <name val="Arial"/>
      <family val="2"/>
    </font>
    <font>
      <sz val="9"/>
      <color rgb="FFFF0000"/>
      <name val="Calibri"/>
      <family val="2"/>
      <scheme val="minor"/>
    </font>
    <font>
      <sz val="12"/>
      <color theme="1" tint="0.499984740745262"/>
      <name val="Calibri"/>
      <family val="2"/>
    </font>
    <font>
      <sz val="12"/>
      <color theme="0" tint="-0.499984740745262"/>
      <name val="Calibri"/>
      <family val="2"/>
      <scheme val="minor"/>
    </font>
    <font>
      <sz val="12"/>
      <color theme="0" tint="-0.499984740745262"/>
      <name val="Calibri"/>
      <family val="2"/>
    </font>
    <font>
      <sz val="12"/>
      <color indexed="23"/>
      <name val="Calibri"/>
      <scheme val="minor"/>
    </font>
    <font>
      <b/>
      <u/>
      <sz val="12"/>
      <color indexed="8"/>
      <name val="Calibri"/>
      <scheme val="minor"/>
    </font>
    <font>
      <b/>
      <u/>
      <sz val="12"/>
      <name val="Calibri"/>
      <scheme val="minor"/>
    </font>
    <font>
      <b/>
      <u/>
      <sz val="12"/>
      <color indexed="23"/>
      <name val="Calibri"/>
      <scheme val="minor"/>
    </font>
    <font>
      <b/>
      <sz val="12"/>
      <color indexed="8"/>
      <name val="Calibri"/>
      <scheme val="minor"/>
    </font>
    <font>
      <b/>
      <sz val="12"/>
      <color indexed="23"/>
      <name val="Calibri"/>
      <scheme val="minor"/>
    </font>
    <font>
      <sz val="12"/>
      <color indexed="10"/>
      <name val="Calibri"/>
      <scheme val="minor"/>
    </font>
    <font>
      <b/>
      <sz val="12"/>
      <color indexed="10"/>
      <name val="Calibri"/>
      <scheme val="minor"/>
    </font>
    <font>
      <sz val="10"/>
      <color indexed="23"/>
      <name val="Calibri"/>
      <scheme val="minor"/>
    </font>
  </fonts>
  <fills count="4">
    <fill>
      <patternFill patternType="none"/>
    </fill>
    <fill>
      <patternFill patternType="gray125"/>
    </fill>
    <fill>
      <patternFill patternType="solid">
        <fgColor indexed="13"/>
        <bgColor indexed="64"/>
      </patternFill>
    </fill>
    <fill>
      <patternFill patternType="solid">
        <fgColor indexed="51"/>
        <bgColor indexed="64"/>
      </patternFill>
    </fill>
  </fills>
  <borders count="21">
    <border>
      <left/>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6">
    <xf numFmtId="0" fontId="0" fillId="0" borderId="0"/>
    <xf numFmtId="0" fontId="2" fillId="0" borderId="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cellStyleXfs>
  <cellXfs count="220">
    <xf numFmtId="0" fontId="0" fillId="0" borderId="0" xfId="0"/>
    <xf numFmtId="0" fontId="4" fillId="0" borderId="0" xfId="0" applyFont="1"/>
    <xf numFmtId="0" fontId="5" fillId="0" borderId="0" xfId="0" applyFont="1" applyBorder="1"/>
    <xf numFmtId="0" fontId="6" fillId="0" borderId="0" xfId="0" applyFont="1" applyFill="1" applyBorder="1" applyAlignment="1">
      <alignment horizontal="center"/>
    </xf>
    <xf numFmtId="0" fontId="5" fillId="0" borderId="0" xfId="0" applyFont="1"/>
    <xf numFmtId="0" fontId="5" fillId="0" borderId="0" xfId="0" applyFont="1" applyAlignment="1">
      <alignment horizontal="left"/>
    </xf>
    <xf numFmtId="0" fontId="8" fillId="0" borderId="0" xfId="0" applyFont="1"/>
    <xf numFmtId="0" fontId="1" fillId="0" borderId="0" xfId="0" applyFont="1"/>
    <xf numFmtId="0" fontId="5" fillId="0" borderId="0" xfId="0" applyFont="1" applyFill="1"/>
    <xf numFmtId="0" fontId="10" fillId="0" borderId="0" xfId="0" applyFont="1"/>
    <xf numFmtId="0" fontId="11" fillId="0" borderId="0" xfId="0" applyFont="1"/>
    <xf numFmtId="0" fontId="0" fillId="0" borderId="0" xfId="0" applyFill="1"/>
    <xf numFmtId="0" fontId="10" fillId="0" borderId="0" xfId="0" applyFont="1" applyFill="1"/>
    <xf numFmtId="0" fontId="12" fillId="0" borderId="0" xfId="0" applyFont="1"/>
    <xf numFmtId="0" fontId="5" fillId="0" borderId="0" xfId="0" applyFont="1" applyAlignment="1">
      <alignment horizontal="right"/>
    </xf>
    <xf numFmtId="11" fontId="5" fillId="0" borderId="0" xfId="0" applyNumberFormat="1" applyFont="1" applyAlignment="1">
      <alignment horizontal="right"/>
    </xf>
    <xf numFmtId="0" fontId="6" fillId="0" borderId="0" xfId="0" applyFont="1" applyFill="1" applyBorder="1" applyAlignment="1">
      <alignment horizontal="right"/>
    </xf>
    <xf numFmtId="0" fontId="10" fillId="0" borderId="0" xfId="0" applyFont="1" applyAlignment="1">
      <alignment horizontal="right"/>
    </xf>
    <xf numFmtId="0" fontId="12" fillId="0" borderId="0" xfId="0" applyFont="1" applyAlignment="1">
      <alignment horizontal="right"/>
    </xf>
    <xf numFmtId="0" fontId="13" fillId="0" borderId="0" xfId="0" applyFont="1"/>
    <xf numFmtId="0" fontId="14" fillId="0" borderId="0" xfId="0" applyFont="1"/>
    <xf numFmtId="0" fontId="8" fillId="0" borderId="0" xfId="0" applyFont="1" applyAlignment="1">
      <alignment horizontal="right"/>
    </xf>
    <xf numFmtId="0" fontId="0" fillId="0" borderId="0" xfId="0" applyAlignment="1">
      <alignment horizontal="right"/>
    </xf>
    <xf numFmtId="0" fontId="15" fillId="0" borderId="0" xfId="0" applyFont="1"/>
    <xf numFmtId="0" fontId="8" fillId="0" borderId="0" xfId="1" applyFont="1"/>
    <xf numFmtId="2" fontId="5" fillId="0" borderId="0" xfId="0" applyNumberFormat="1" applyFont="1" applyAlignment="1">
      <alignment horizontal="right"/>
    </xf>
    <xf numFmtId="0" fontId="12" fillId="0" borderId="0" xfId="0" applyFont="1" applyFill="1" applyBorder="1" applyAlignment="1">
      <alignment horizontal="left" vertical="center"/>
    </xf>
    <xf numFmtId="0" fontId="17" fillId="0" borderId="0" xfId="0" applyFont="1" applyFill="1" applyBorder="1" applyAlignment="1">
      <alignment horizontal="left"/>
    </xf>
    <xf numFmtId="0" fontId="12" fillId="0" borderId="0" xfId="0" applyFont="1" applyFill="1"/>
    <xf numFmtId="0" fontId="13" fillId="0" borderId="0" xfId="0" applyFont="1" applyFill="1"/>
    <xf numFmtId="0" fontId="12" fillId="0" borderId="0" xfId="0" applyFont="1" applyFill="1" applyAlignment="1">
      <alignment horizontal="right"/>
    </xf>
    <xf numFmtId="0" fontId="18" fillId="0" borderId="0" xfId="0" applyFont="1"/>
    <xf numFmtId="0" fontId="17" fillId="0" borderId="0" xfId="0" applyFont="1" applyFill="1" applyBorder="1" applyAlignment="1">
      <alignment horizontal="right"/>
    </xf>
    <xf numFmtId="0" fontId="18" fillId="0" borderId="0" xfId="0" applyFont="1" applyAlignment="1">
      <alignment horizontal="right"/>
    </xf>
    <xf numFmtId="0" fontId="5" fillId="0" borderId="1" xfId="0" applyFont="1" applyFill="1" applyBorder="1" applyAlignment="1">
      <alignment horizontal="left"/>
    </xf>
    <xf numFmtId="0" fontId="6" fillId="0" borderId="1" xfId="0" applyFont="1" applyFill="1" applyBorder="1" applyAlignment="1">
      <alignment horizontal="center"/>
    </xf>
    <xf numFmtId="0" fontId="5" fillId="0" borderId="1" xfId="0" applyFont="1" applyBorder="1"/>
    <xf numFmtId="0" fontId="7" fillId="0" borderId="0" xfId="0" applyFont="1" applyBorder="1"/>
    <xf numFmtId="0" fontId="4" fillId="0" borderId="1" xfId="0" applyFont="1" applyFill="1" applyBorder="1" applyAlignment="1">
      <alignment horizontal="left" vertical="center"/>
    </xf>
    <xf numFmtId="0" fontId="5" fillId="0" borderId="0" xfId="0" applyFont="1" applyBorder="1" applyAlignment="1">
      <alignment horizontal="left"/>
    </xf>
    <xf numFmtId="0" fontId="16" fillId="0" borderId="0" xfId="0" applyFont="1" applyBorder="1" applyAlignment="1">
      <alignment horizontal="left"/>
    </xf>
    <xf numFmtId="0" fontId="4" fillId="0" borderId="3" xfId="0" applyFont="1" applyFill="1" applyBorder="1" applyAlignment="1">
      <alignment horizontal="left" vertical="center"/>
    </xf>
    <xf numFmtId="0" fontId="16" fillId="0" borderId="4" xfId="0" applyFont="1" applyBorder="1" applyAlignment="1">
      <alignment horizontal="left"/>
    </xf>
    <xf numFmtId="0" fontId="17" fillId="0" borderId="6" xfId="0" applyFont="1" applyFill="1" applyBorder="1" applyAlignment="1">
      <alignment horizontal="center"/>
    </xf>
    <xf numFmtId="0" fontId="17" fillId="0" borderId="7" xfId="0" applyFont="1" applyFill="1" applyBorder="1" applyAlignment="1">
      <alignment horizontal="center"/>
    </xf>
    <xf numFmtId="0" fontId="17" fillId="0" borderId="8" xfId="0" applyFont="1" applyFill="1" applyBorder="1" applyAlignment="1">
      <alignment horizontal="left"/>
    </xf>
    <xf numFmtId="0" fontId="19" fillId="0" borderId="0" xfId="0" applyFont="1" applyFill="1" applyBorder="1" applyAlignment="1">
      <alignment horizontal="center"/>
    </xf>
    <xf numFmtId="0" fontId="12" fillId="0" borderId="0" xfId="0" applyFont="1" applyFill="1" applyBorder="1"/>
    <xf numFmtId="0" fontId="15" fillId="0" borderId="0" xfId="0" applyFont="1" applyFill="1" applyBorder="1" applyAlignment="1">
      <alignment horizontal="center"/>
    </xf>
    <xf numFmtId="0" fontId="19" fillId="0" borderId="0" xfId="0" applyFont="1"/>
    <xf numFmtId="0" fontId="20" fillId="0" borderId="0" xfId="0" applyFont="1"/>
    <xf numFmtId="0" fontId="18" fillId="0" borderId="7" xfId="0" applyFont="1" applyBorder="1"/>
    <xf numFmtId="0" fontId="16" fillId="0" borderId="0" xfId="0" applyFont="1" applyBorder="1"/>
    <xf numFmtId="0" fontId="5" fillId="0" borderId="3" xfId="0" applyFont="1" applyBorder="1"/>
    <xf numFmtId="0" fontId="16" fillId="0" borderId="4" xfId="0" applyFont="1" applyBorder="1"/>
    <xf numFmtId="0" fontId="7" fillId="0" borderId="4" xfId="0" applyFont="1" applyBorder="1"/>
    <xf numFmtId="0" fontId="8" fillId="0" borderId="1" xfId="0" applyFont="1" applyBorder="1"/>
    <xf numFmtId="0" fontId="5" fillId="0" borderId="2" xfId="0" applyFont="1" applyBorder="1" applyAlignment="1">
      <alignment horizontal="left"/>
    </xf>
    <xf numFmtId="0" fontId="8" fillId="0" borderId="0" xfId="0" applyFont="1" applyBorder="1"/>
    <xf numFmtId="0" fontId="24" fillId="0" borderId="0" xfId="0" applyFont="1"/>
    <xf numFmtId="0" fontId="25" fillId="0" borderId="0" xfId="0" applyFont="1"/>
    <xf numFmtId="0" fontId="28" fillId="0" borderId="0" xfId="0" applyFont="1"/>
    <xf numFmtId="14" fontId="28" fillId="0" borderId="0" xfId="0" applyNumberFormat="1" applyFont="1"/>
    <xf numFmtId="0" fontId="25" fillId="0" borderId="0" xfId="0" applyFont="1" applyAlignment="1">
      <alignment vertical="center"/>
    </xf>
    <xf numFmtId="0" fontId="12" fillId="0" borderId="0" xfId="0" applyFont="1" applyFill="1" applyBorder="1" applyAlignment="1" applyProtection="1">
      <alignment horizontal="left" vertical="center"/>
      <protection locked="0"/>
    </xf>
    <xf numFmtId="0" fontId="12" fillId="0" borderId="0" xfId="0" applyFont="1" applyAlignment="1" applyProtection="1">
      <alignment horizontal="left"/>
      <protection locked="0"/>
    </xf>
    <xf numFmtId="0" fontId="12" fillId="0" borderId="0" xfId="0" applyFont="1" applyAlignment="1" applyProtection="1">
      <alignment horizontal="right"/>
      <protection locked="0"/>
    </xf>
    <xf numFmtId="0" fontId="12" fillId="0" borderId="0" xfId="0" applyFont="1" applyProtection="1">
      <protection locked="0"/>
    </xf>
    <xf numFmtId="0" fontId="4" fillId="0" borderId="0" xfId="0" applyFont="1" applyFill="1" applyBorder="1" applyAlignment="1" applyProtection="1">
      <alignment horizontal="left" vertical="center"/>
      <protection locked="0"/>
    </xf>
    <xf numFmtId="0" fontId="5" fillId="0" borderId="0" xfId="0" applyFont="1" applyProtection="1">
      <protection locked="0"/>
    </xf>
    <xf numFmtId="0" fontId="8" fillId="0" borderId="0" xfId="0" applyFont="1" applyBorder="1" applyAlignment="1">
      <alignment horizontal="right"/>
    </xf>
    <xf numFmtId="0" fontId="1" fillId="0" borderId="0" xfId="0" applyFont="1" applyBorder="1" applyAlignment="1">
      <alignment horizontal="right"/>
    </xf>
    <xf numFmtId="0" fontId="18" fillId="0" borderId="7" xfId="0" applyFont="1" applyBorder="1" applyAlignment="1">
      <alignment horizontal="center"/>
    </xf>
    <xf numFmtId="0" fontId="5" fillId="0" borderId="0" xfId="0" applyFont="1" applyAlignment="1">
      <alignment horizontal="center"/>
    </xf>
    <xf numFmtId="0" fontId="5" fillId="0" borderId="0" xfId="0" applyFont="1" applyBorder="1" applyAlignment="1">
      <alignment horizontal="center"/>
    </xf>
    <xf numFmtId="0" fontId="5" fillId="0" borderId="4" xfId="0" applyFont="1" applyBorder="1" applyAlignment="1">
      <alignment horizontal="center"/>
    </xf>
    <xf numFmtId="0" fontId="11" fillId="0" borderId="0" xfId="0" applyFont="1" applyAlignment="1">
      <alignment horizontal="center"/>
    </xf>
    <xf numFmtId="164" fontId="0" fillId="0" borderId="0" xfId="0" applyNumberFormat="1"/>
    <xf numFmtId="0" fontId="10" fillId="0" borderId="0" xfId="0" applyFont="1" applyAlignment="1">
      <alignment horizontal="center"/>
    </xf>
    <xf numFmtId="0" fontId="12" fillId="0" borderId="0" xfId="0" applyFont="1" applyProtection="1">
      <protection hidden="1"/>
    </xf>
    <xf numFmtId="0" fontId="12" fillId="0" borderId="0" xfId="0" applyFont="1" applyAlignment="1" applyProtection="1">
      <alignment horizontal="center"/>
      <protection hidden="1"/>
    </xf>
    <xf numFmtId="0" fontId="12" fillId="0" borderId="0" xfId="0" applyFont="1" applyAlignment="1" applyProtection="1">
      <alignment horizontal="right"/>
      <protection hidden="1"/>
    </xf>
    <xf numFmtId="0" fontId="14" fillId="0" borderId="0" xfId="0" applyFont="1" applyProtection="1">
      <protection hidden="1"/>
    </xf>
    <xf numFmtId="0" fontId="14" fillId="0" borderId="0" xfId="0" applyFont="1" applyAlignment="1" applyProtection="1">
      <alignment horizontal="center"/>
      <protection hidden="1"/>
    </xf>
    <xf numFmtId="0" fontId="5" fillId="0" borderId="0" xfId="0" applyFont="1" applyProtection="1">
      <protection hidden="1"/>
    </xf>
    <xf numFmtId="0" fontId="5" fillId="0" borderId="0" xfId="0" applyFont="1" applyAlignment="1" applyProtection="1">
      <alignment horizontal="center"/>
      <protection hidden="1"/>
    </xf>
    <xf numFmtId="0" fontId="5" fillId="2" borderId="9" xfId="0" applyFont="1" applyFill="1" applyBorder="1" applyProtection="1">
      <protection hidden="1"/>
    </xf>
    <xf numFmtId="0" fontId="12" fillId="0" borderId="10" xfId="0" applyFont="1" applyFill="1" applyBorder="1" applyAlignment="1" applyProtection="1">
      <alignment horizontal="center"/>
      <protection hidden="1"/>
    </xf>
    <xf numFmtId="0" fontId="8" fillId="2" borderId="10" xfId="0" applyFont="1" applyFill="1" applyBorder="1" applyAlignment="1" applyProtection="1">
      <alignment horizontal="center"/>
      <protection hidden="1"/>
    </xf>
    <xf numFmtId="0" fontId="5" fillId="0" borderId="10" xfId="0" applyFont="1" applyFill="1" applyBorder="1" applyAlignment="1" applyProtection="1">
      <alignment horizontal="center"/>
      <protection hidden="1"/>
    </xf>
    <xf numFmtId="0" fontId="12" fillId="0" borderId="11" xfId="0" applyFont="1" applyFill="1" applyBorder="1" applyAlignment="1" applyProtection="1">
      <alignment horizontal="center"/>
      <protection hidden="1"/>
    </xf>
    <xf numFmtId="0" fontId="12" fillId="0" borderId="0" xfId="0" applyFont="1" applyFill="1" applyAlignment="1" applyProtection="1">
      <alignment horizontal="right"/>
      <protection hidden="1"/>
    </xf>
    <xf numFmtId="0" fontId="12" fillId="0" borderId="0" xfId="0" applyFont="1" applyFill="1" applyProtection="1">
      <protection hidden="1"/>
    </xf>
    <xf numFmtId="0" fontId="5" fillId="0" borderId="0" xfId="0" applyFont="1" applyFill="1" applyAlignment="1" applyProtection="1">
      <alignment horizontal="center"/>
      <protection hidden="1"/>
    </xf>
    <xf numFmtId="0" fontId="10" fillId="0" borderId="0" xfId="0" applyFont="1" applyProtection="1">
      <protection hidden="1"/>
    </xf>
    <xf numFmtId="0" fontId="10" fillId="0" borderId="0" xfId="0" applyFont="1" applyAlignment="1" applyProtection="1">
      <alignment horizontal="center"/>
      <protection hidden="1"/>
    </xf>
    <xf numFmtId="0" fontId="13" fillId="0" borderId="0" xfId="0" applyFont="1" applyProtection="1">
      <protection hidden="1"/>
    </xf>
    <xf numFmtId="0" fontId="5" fillId="3" borderId="9" xfId="0" applyFont="1" applyFill="1" applyBorder="1" applyProtection="1">
      <protection hidden="1"/>
    </xf>
    <xf numFmtId="0" fontId="8" fillId="3" borderId="10" xfId="0" applyFont="1" applyFill="1" applyBorder="1" applyAlignment="1" applyProtection="1">
      <alignment horizontal="center"/>
      <protection hidden="1"/>
    </xf>
    <xf numFmtId="0" fontId="13" fillId="0" borderId="0" xfId="0" applyFont="1" applyAlignment="1" applyProtection="1">
      <alignment horizontal="center"/>
      <protection hidden="1"/>
    </xf>
    <xf numFmtId="0" fontId="5" fillId="0" borderId="11" xfId="0" applyFont="1" applyFill="1" applyBorder="1" applyAlignment="1" applyProtection="1">
      <alignment horizontal="center"/>
      <protection hidden="1"/>
    </xf>
    <xf numFmtId="0" fontId="5" fillId="0" borderId="0" xfId="0" applyFont="1" applyFill="1" applyProtection="1">
      <protection hidden="1"/>
    </xf>
    <xf numFmtId="11" fontId="1" fillId="0" borderId="0" xfId="0" applyNumberFormat="1" applyFont="1" applyBorder="1" applyProtection="1">
      <protection locked="0"/>
    </xf>
    <xf numFmtId="0" fontId="1" fillId="0" borderId="4" xfId="0" applyFont="1" applyBorder="1" applyProtection="1">
      <protection locked="0"/>
    </xf>
    <xf numFmtId="0" fontId="1" fillId="0" borderId="0" xfId="0" applyFont="1" applyFill="1" applyBorder="1" applyProtection="1">
      <protection locked="0"/>
    </xf>
    <xf numFmtId="11" fontId="1" fillId="0" borderId="0" xfId="0" applyNumberFormat="1" applyFont="1" applyFill="1" applyBorder="1" applyProtection="1">
      <protection locked="0"/>
    </xf>
    <xf numFmtId="0" fontId="9" fillId="0" borderId="0" xfId="0" applyFont="1" applyBorder="1" applyProtection="1">
      <protection locked="0"/>
    </xf>
    <xf numFmtId="0" fontId="9" fillId="0" borderId="4" xfId="0" applyFont="1" applyBorder="1" applyProtection="1">
      <protection locked="0"/>
    </xf>
    <xf numFmtId="0" fontId="6" fillId="0" borderId="0" xfId="0" applyFont="1" applyFill="1" applyBorder="1" applyAlignment="1" applyProtection="1">
      <alignment horizontal="center"/>
      <protection locked="0"/>
    </xf>
    <xf numFmtId="0" fontId="1" fillId="0" borderId="0" xfId="0" applyFont="1" applyFill="1" applyBorder="1" applyAlignment="1" applyProtection="1">
      <alignment horizontal="center"/>
      <protection locked="0"/>
    </xf>
    <xf numFmtId="0" fontId="5" fillId="0" borderId="0" xfId="0" applyFont="1" applyFill="1" applyBorder="1" applyAlignment="1">
      <alignment horizontal="center"/>
    </xf>
    <xf numFmtId="0" fontId="5" fillId="0" borderId="0" xfId="0" applyFont="1" applyBorder="1" applyAlignment="1" applyProtection="1">
      <alignment horizontal="center"/>
      <protection locked="0"/>
    </xf>
    <xf numFmtId="0" fontId="1" fillId="0" borderId="0" xfId="0" applyFont="1" applyBorder="1" applyAlignment="1" applyProtection="1">
      <alignment horizontal="center"/>
      <protection locked="0"/>
    </xf>
    <xf numFmtId="0" fontId="1" fillId="0" borderId="0" xfId="0" applyNumberFormat="1" applyFont="1" applyFill="1" applyBorder="1" applyAlignment="1" applyProtection="1">
      <alignment horizontal="center" vertical="center"/>
      <protection locked="0"/>
    </xf>
    <xf numFmtId="11" fontId="1" fillId="0" borderId="0" xfId="0" applyNumberFormat="1" applyFont="1" applyFill="1" applyBorder="1" applyAlignment="1" applyProtection="1">
      <alignment horizontal="center" vertical="center"/>
      <protection locked="0"/>
    </xf>
    <xf numFmtId="2" fontId="9" fillId="0" borderId="0" xfId="0" applyNumberFormat="1" applyFont="1" applyFill="1" applyBorder="1" applyAlignment="1" applyProtection="1">
      <alignment horizontal="center" vertical="center"/>
      <protection locked="0"/>
    </xf>
    <xf numFmtId="2" fontId="9" fillId="0" borderId="4" xfId="0" applyNumberFormat="1" applyFont="1" applyFill="1" applyBorder="1" applyAlignment="1" applyProtection="1">
      <alignment horizontal="center" vertical="center"/>
      <protection locked="0"/>
    </xf>
    <xf numFmtId="0" fontId="17" fillId="0" borderId="8" xfId="0" applyFont="1" applyFill="1" applyBorder="1" applyAlignment="1">
      <alignment horizontal="center"/>
    </xf>
    <xf numFmtId="0" fontId="5" fillId="0" borderId="2" xfId="0" applyFont="1" applyBorder="1" applyAlignment="1">
      <alignment horizontal="center"/>
    </xf>
    <xf numFmtId="0" fontId="5" fillId="0" borderId="0" xfId="0" applyFont="1" applyAlignment="1" applyProtection="1">
      <alignment horizontal="center"/>
      <protection locked="0"/>
    </xf>
    <xf numFmtId="0" fontId="1" fillId="0" borderId="4" xfId="0" applyFont="1" applyBorder="1" applyAlignment="1" applyProtection="1">
      <alignment horizontal="center"/>
      <protection locked="0"/>
    </xf>
    <xf numFmtId="0" fontId="18" fillId="0" borderId="8" xfId="0" applyFont="1" applyBorder="1" applyAlignment="1">
      <alignment horizontal="center"/>
    </xf>
    <xf numFmtId="0" fontId="8" fillId="0" borderId="0" xfId="0" applyFont="1" applyBorder="1" applyAlignment="1">
      <alignment horizontal="center"/>
    </xf>
    <xf numFmtId="0" fontId="8" fillId="0" borderId="2" xfId="0" applyFont="1" applyBorder="1" applyAlignment="1">
      <alignment horizontal="center"/>
    </xf>
    <xf numFmtId="0" fontId="5" fillId="0" borderId="5" xfId="0" applyFont="1" applyBorder="1" applyAlignment="1">
      <alignment horizontal="center"/>
    </xf>
    <xf numFmtId="0" fontId="0" fillId="0" borderId="0" xfId="0" applyAlignment="1">
      <alignment horizontal="center"/>
    </xf>
    <xf numFmtId="0" fontId="23" fillId="0" borderId="0" xfId="0" applyFont="1" applyProtection="1">
      <protection hidden="1"/>
    </xf>
    <xf numFmtId="0" fontId="24" fillId="0" borderId="0" xfId="0" applyFont="1" applyProtection="1">
      <protection hidden="1"/>
    </xf>
    <xf numFmtId="0" fontId="24" fillId="0" borderId="0" xfId="0" applyFont="1" applyFill="1" applyProtection="1">
      <protection hidden="1"/>
    </xf>
    <xf numFmtId="0" fontId="24" fillId="0" borderId="16" xfId="0" applyFont="1" applyFill="1" applyBorder="1" applyProtection="1">
      <protection hidden="1"/>
    </xf>
    <xf numFmtId="0" fontId="23" fillId="0" borderId="13" xfId="0" applyFont="1" applyFill="1" applyBorder="1" applyProtection="1">
      <protection hidden="1"/>
    </xf>
    <xf numFmtId="0" fontId="23" fillId="0" borderId="17" xfId="0" applyFont="1" applyFill="1" applyBorder="1" applyProtection="1">
      <protection hidden="1"/>
    </xf>
    <xf numFmtId="0" fontId="23" fillId="0" borderId="18" xfId="0" applyFont="1" applyFill="1" applyBorder="1" applyAlignment="1" applyProtection="1">
      <alignment horizontal="center"/>
      <protection hidden="1"/>
    </xf>
    <xf numFmtId="0" fontId="23" fillId="0" borderId="14" xfId="0" applyFont="1" applyFill="1" applyBorder="1" applyAlignment="1" applyProtection="1">
      <alignment horizontal="center"/>
      <protection hidden="1"/>
    </xf>
    <xf numFmtId="0" fontId="23" fillId="0" borderId="19" xfId="0" applyFont="1" applyFill="1" applyBorder="1" applyAlignment="1" applyProtection="1">
      <alignment horizontal="center"/>
      <protection hidden="1"/>
    </xf>
    <xf numFmtId="0" fontId="23" fillId="0" borderId="20" xfId="0" applyFont="1" applyBorder="1" applyAlignment="1" applyProtection="1">
      <alignment horizontal="center"/>
      <protection hidden="1"/>
    </xf>
    <xf numFmtId="0" fontId="23" fillId="0" borderId="15" xfId="0" applyFont="1" applyFill="1" applyBorder="1" applyAlignment="1" applyProtection="1">
      <alignment horizontal="center"/>
      <protection hidden="1"/>
    </xf>
    <xf numFmtId="0" fontId="24" fillId="0" borderId="12" xfId="0" applyFont="1" applyFill="1" applyBorder="1" applyAlignment="1" applyProtection="1">
      <alignment vertical="center"/>
      <protection hidden="1"/>
    </xf>
    <xf numFmtId="11" fontId="24" fillId="0" borderId="12" xfId="0" applyNumberFormat="1" applyFont="1" applyFill="1" applyBorder="1" applyAlignment="1" applyProtection="1">
      <alignment horizontal="center" vertical="center"/>
      <protection hidden="1"/>
    </xf>
    <xf numFmtId="0" fontId="24" fillId="0" borderId="12" xfId="0" applyFont="1" applyBorder="1" applyAlignment="1" applyProtection="1">
      <alignment vertical="center"/>
      <protection hidden="1"/>
    </xf>
    <xf numFmtId="0" fontId="24" fillId="0" borderId="16" xfId="0" applyFont="1" applyBorder="1" applyProtection="1">
      <protection hidden="1"/>
    </xf>
    <xf numFmtId="0" fontId="23" fillId="0" borderId="20" xfId="0" applyFont="1" applyFill="1" applyBorder="1" applyAlignment="1" applyProtection="1">
      <alignment horizontal="center"/>
      <protection hidden="1"/>
    </xf>
    <xf numFmtId="11" fontId="24" fillId="0" borderId="12" xfId="0" applyNumberFormat="1" applyFont="1" applyBorder="1" applyAlignment="1" applyProtection="1">
      <alignment horizontal="center" vertical="center"/>
      <protection hidden="1"/>
    </xf>
    <xf numFmtId="0" fontId="25" fillId="0" borderId="0" xfId="0" applyFont="1" applyBorder="1" applyProtection="1">
      <protection hidden="1"/>
    </xf>
    <xf numFmtId="0" fontId="30" fillId="0" borderId="0" xfId="0" applyFont="1" applyBorder="1" applyAlignment="1" applyProtection="1">
      <alignment horizontal="center"/>
      <protection hidden="1"/>
    </xf>
    <xf numFmtId="0" fontId="25" fillId="0" borderId="0" xfId="0" applyFont="1" applyFill="1" applyBorder="1" applyProtection="1">
      <protection hidden="1"/>
    </xf>
    <xf numFmtId="0" fontId="30" fillId="0" borderId="0" xfId="0" applyFont="1" applyFill="1" applyBorder="1" applyAlignment="1" applyProtection="1">
      <alignment horizontal="center"/>
      <protection hidden="1"/>
    </xf>
    <xf numFmtId="0" fontId="25" fillId="0" borderId="0" xfId="0" applyFont="1" applyFill="1" applyBorder="1" applyAlignment="1" applyProtection="1">
      <alignment vertical="center"/>
      <protection hidden="1"/>
    </xf>
    <xf numFmtId="0" fontId="30" fillId="0" borderId="0" xfId="0" applyFont="1" applyBorder="1" applyAlignment="1" applyProtection="1">
      <alignment horizontal="center" vertical="center"/>
      <protection hidden="1"/>
    </xf>
    <xf numFmtId="0" fontId="25" fillId="0" borderId="0" xfId="0" applyFont="1" applyBorder="1" applyAlignment="1" applyProtection="1">
      <alignment vertical="center"/>
      <protection hidden="1"/>
    </xf>
    <xf numFmtId="0" fontId="29" fillId="0" borderId="2" xfId="0" applyFont="1" applyBorder="1" applyAlignment="1">
      <alignment horizontal="center"/>
    </xf>
    <xf numFmtId="0" fontId="5" fillId="0" borderId="2" xfId="0" applyFont="1" applyFill="1" applyBorder="1" applyAlignment="1">
      <alignment horizontal="center"/>
    </xf>
    <xf numFmtId="11" fontId="5" fillId="0" borderId="2" xfId="0" applyNumberFormat="1" applyFont="1" applyFill="1" applyBorder="1" applyAlignment="1">
      <alignment horizontal="center"/>
    </xf>
    <xf numFmtId="11" fontId="5" fillId="0" borderId="2" xfId="0" applyNumberFormat="1" applyFont="1" applyBorder="1" applyAlignment="1">
      <alignment horizontal="center"/>
    </xf>
    <xf numFmtId="0" fontId="31" fillId="0" borderId="0" xfId="0" applyFont="1" applyAlignment="1" applyProtection="1">
      <alignment horizontal="center"/>
      <protection hidden="1"/>
    </xf>
    <xf numFmtId="0" fontId="12" fillId="0" borderId="0" xfId="0" applyFont="1" applyFill="1" applyAlignment="1" applyProtection="1">
      <alignment horizontal="center"/>
      <protection hidden="1"/>
    </xf>
    <xf numFmtId="0" fontId="10" fillId="0" borderId="0" xfId="0" applyFont="1" applyFill="1" applyProtection="1">
      <protection hidden="1"/>
    </xf>
    <xf numFmtId="0" fontId="13" fillId="0" borderId="0" xfId="0" applyFont="1" applyFill="1" applyAlignment="1" applyProtection="1">
      <alignment horizontal="center"/>
      <protection hidden="1"/>
    </xf>
    <xf numFmtId="0" fontId="10" fillId="0" borderId="0" xfId="0" applyFont="1" applyFill="1" applyAlignment="1" applyProtection="1">
      <alignment horizontal="center"/>
      <protection hidden="1"/>
    </xf>
    <xf numFmtId="0" fontId="12" fillId="0" borderId="0" xfId="0" applyNumberFormat="1" applyFont="1" applyFill="1" applyBorder="1" applyAlignment="1" applyProtection="1">
      <alignment horizontal="center" vertical="center"/>
      <protection hidden="1"/>
    </xf>
    <xf numFmtId="11" fontId="12" fillId="0" borderId="0" xfId="0" applyNumberFormat="1" applyFont="1" applyAlignment="1" applyProtection="1">
      <alignment horizontal="center"/>
      <protection hidden="1"/>
    </xf>
    <xf numFmtId="11" fontId="12" fillId="0" borderId="0" xfId="0" applyNumberFormat="1" applyFont="1" applyFill="1" applyAlignment="1" applyProtection="1">
      <alignment horizontal="center"/>
      <protection hidden="1"/>
    </xf>
    <xf numFmtId="11" fontId="12" fillId="0" borderId="0" xfId="0" applyNumberFormat="1" applyFont="1" applyFill="1" applyBorder="1" applyAlignment="1" applyProtection="1">
      <alignment horizontal="center" vertical="center"/>
      <protection hidden="1"/>
    </xf>
    <xf numFmtId="0" fontId="12" fillId="0" borderId="0" xfId="0" applyFont="1" applyFill="1" applyBorder="1" applyAlignment="1" applyProtection="1">
      <alignment horizontal="left" vertical="center"/>
      <protection hidden="1"/>
    </xf>
    <xf numFmtId="0" fontId="12" fillId="0" borderId="0" xfId="0" applyFont="1" applyFill="1" applyBorder="1" applyAlignment="1" applyProtection="1">
      <alignment horizontal="center" vertical="center"/>
      <protection hidden="1"/>
    </xf>
    <xf numFmtId="0" fontId="12" fillId="0" borderId="0" xfId="0" applyFont="1" applyFill="1" applyBorder="1" applyAlignment="1" applyProtection="1">
      <alignment vertical="center"/>
      <protection hidden="1"/>
    </xf>
    <xf numFmtId="0" fontId="17" fillId="0" borderId="7" xfId="0" applyFont="1" applyFill="1" applyBorder="1" applyAlignment="1" applyProtection="1">
      <alignment horizontal="center"/>
    </xf>
    <xf numFmtId="0" fontId="17" fillId="0" borderId="8" xfId="0" applyFont="1" applyFill="1" applyBorder="1" applyAlignment="1" applyProtection="1">
      <alignment horizontal="center"/>
    </xf>
    <xf numFmtId="0" fontId="5" fillId="0" borderId="0" xfId="0" applyFont="1" applyFill="1" applyBorder="1" applyAlignment="1" applyProtection="1">
      <alignment horizontal="center"/>
    </xf>
    <xf numFmtId="0" fontId="5" fillId="0" borderId="2" xfId="0" applyFont="1" applyBorder="1" applyAlignment="1" applyProtection="1">
      <alignment horizontal="center"/>
    </xf>
    <xf numFmtId="0" fontId="5" fillId="0" borderId="0" xfId="0" applyFont="1" applyBorder="1" applyAlignment="1" applyProtection="1">
      <alignment horizontal="center"/>
    </xf>
    <xf numFmtId="0" fontId="6" fillId="0" borderId="0" xfId="0" applyFont="1" applyFill="1" applyBorder="1" applyAlignment="1" applyProtection="1">
      <alignment horizontal="center"/>
    </xf>
    <xf numFmtId="0" fontId="6" fillId="0" borderId="2" xfId="0" applyFont="1" applyFill="1" applyBorder="1" applyAlignment="1" applyProtection="1">
      <alignment horizontal="center"/>
    </xf>
    <xf numFmtId="0" fontId="4" fillId="0" borderId="0" xfId="0" applyFont="1" applyFill="1" applyBorder="1" applyAlignment="1" applyProtection="1">
      <alignment horizontal="center" vertical="center"/>
    </xf>
    <xf numFmtId="2" fontId="5" fillId="0" borderId="2" xfId="0" applyNumberFormat="1" applyFont="1" applyBorder="1" applyAlignment="1" applyProtection="1">
      <alignment horizontal="center"/>
    </xf>
    <xf numFmtId="0" fontId="4" fillId="0" borderId="4" xfId="0" applyFont="1" applyFill="1" applyBorder="1" applyAlignment="1" applyProtection="1">
      <alignment horizontal="center" vertical="center"/>
    </xf>
    <xf numFmtId="2" fontId="5" fillId="0" borderId="5" xfId="0" applyNumberFormat="1" applyFont="1" applyBorder="1" applyAlignment="1" applyProtection="1">
      <alignment horizontal="center"/>
    </xf>
    <xf numFmtId="0" fontId="23" fillId="0" borderId="0" xfId="0" applyFont="1"/>
    <xf numFmtId="0" fontId="24" fillId="0" borderId="0" xfId="0" applyFont="1" applyAlignment="1">
      <alignment horizontal="right"/>
    </xf>
    <xf numFmtId="0" fontId="32" fillId="0" borderId="0" xfId="0" applyFont="1"/>
    <xf numFmtId="0" fontId="33" fillId="0" borderId="6" xfId="0" applyFont="1" applyFill="1" applyBorder="1" applyAlignment="1">
      <alignment horizontal="center"/>
    </xf>
    <xf numFmtId="0" fontId="34" fillId="0" borderId="7" xfId="0" applyFont="1" applyBorder="1"/>
    <xf numFmtId="0" fontId="34" fillId="0" borderId="7" xfId="0" applyFont="1" applyBorder="1" applyAlignment="1">
      <alignment horizontal="center"/>
    </xf>
    <xf numFmtId="0" fontId="33" fillId="0" borderId="8" xfId="0" applyFont="1" applyFill="1" applyBorder="1" applyAlignment="1">
      <alignment horizontal="center"/>
    </xf>
    <xf numFmtId="0" fontId="33" fillId="0" borderId="0" xfId="0" applyFont="1" applyFill="1" applyBorder="1" applyAlignment="1">
      <alignment horizontal="right"/>
    </xf>
    <xf numFmtId="0" fontId="35" fillId="0" borderId="0" xfId="0" applyFont="1"/>
    <xf numFmtId="0" fontId="36" fillId="0" borderId="1" xfId="0" applyFont="1" applyFill="1" applyBorder="1" applyAlignment="1">
      <alignment horizontal="center"/>
    </xf>
    <xf numFmtId="0" fontId="23" fillId="0" borderId="0" xfId="0" applyFont="1" applyBorder="1"/>
    <xf numFmtId="0" fontId="23" fillId="0" borderId="0" xfId="0" applyFont="1" applyBorder="1" applyAlignment="1">
      <alignment horizontal="right"/>
    </xf>
    <xf numFmtId="0" fontId="23" fillId="0" borderId="0" xfId="0" applyFont="1" applyBorder="1" applyAlignment="1">
      <alignment horizontal="center"/>
    </xf>
    <xf numFmtId="0" fontId="23" fillId="0" borderId="2" xfId="0" applyFont="1" applyBorder="1" applyAlignment="1">
      <alignment horizontal="center"/>
    </xf>
    <xf numFmtId="0" fontId="23" fillId="0" borderId="0" xfId="0" applyFont="1" applyAlignment="1">
      <alignment horizontal="right"/>
    </xf>
    <xf numFmtId="0" fontId="37" fillId="0" borderId="0" xfId="0" applyFont="1"/>
    <xf numFmtId="0" fontId="24" fillId="0" borderId="1" xfId="0" applyFont="1" applyBorder="1"/>
    <xf numFmtId="0" fontId="38" fillId="0" borderId="0" xfId="0" applyFont="1" applyBorder="1"/>
    <xf numFmtId="0" fontId="39" fillId="0" borderId="0" xfId="0" applyFont="1" applyBorder="1" applyAlignment="1" applyProtection="1">
      <alignment horizontal="right"/>
      <protection locked="0"/>
    </xf>
    <xf numFmtId="0" fontId="24" fillId="0" borderId="0" xfId="0" applyFont="1" applyBorder="1" applyAlignment="1">
      <alignment horizontal="center"/>
    </xf>
    <xf numFmtId="0" fontId="24" fillId="0" borderId="2" xfId="0" applyFont="1" applyBorder="1" applyAlignment="1">
      <alignment horizontal="center"/>
    </xf>
    <xf numFmtId="0" fontId="32" fillId="0" borderId="3" xfId="0" applyFont="1" applyBorder="1"/>
    <xf numFmtId="0" fontId="37" fillId="0" borderId="4" xfId="0" applyFont="1" applyBorder="1" applyAlignment="1">
      <alignment horizontal="right"/>
    </xf>
    <xf numFmtId="0" fontId="32" fillId="0" borderId="4" xfId="0" applyFont="1" applyBorder="1" applyAlignment="1">
      <alignment horizontal="center"/>
    </xf>
    <xf numFmtId="0" fontId="32" fillId="0" borderId="5" xfId="0" applyFont="1" applyBorder="1" applyAlignment="1">
      <alignment horizontal="center"/>
    </xf>
    <xf numFmtId="0" fontId="32" fillId="0" borderId="0" xfId="0" applyFont="1" applyAlignment="1">
      <alignment horizontal="right"/>
    </xf>
    <xf numFmtId="0" fontId="40" fillId="0" borderId="0" xfId="0" applyFont="1"/>
    <xf numFmtId="0" fontId="32" fillId="0" borderId="0" xfId="0" applyFont="1" applyProtection="1">
      <protection hidden="1"/>
    </xf>
    <xf numFmtId="0" fontId="32" fillId="0" borderId="0" xfId="0" applyFont="1" applyAlignment="1" applyProtection="1">
      <alignment horizontal="center"/>
      <protection hidden="1"/>
    </xf>
    <xf numFmtId="0" fontId="32" fillId="0" borderId="0" xfId="0" applyFont="1" applyAlignment="1" applyProtection="1">
      <alignment horizontal="right"/>
      <protection hidden="1"/>
    </xf>
    <xf numFmtId="0" fontId="24" fillId="0" borderId="0" xfId="0" applyFont="1" applyAlignment="1" applyProtection="1">
      <alignment horizontal="center"/>
      <protection hidden="1"/>
    </xf>
    <xf numFmtId="0" fontId="24" fillId="0" borderId="0" xfId="0" applyFont="1" applyAlignment="1" applyProtection="1">
      <alignment horizontal="right"/>
      <protection hidden="1"/>
    </xf>
    <xf numFmtId="0" fontId="24" fillId="2" borderId="9" xfId="0" applyFont="1" applyFill="1" applyBorder="1" applyProtection="1">
      <protection hidden="1"/>
    </xf>
    <xf numFmtId="0" fontId="24" fillId="0" borderId="10" xfId="0" applyFont="1" applyFill="1" applyBorder="1" applyAlignment="1" applyProtection="1">
      <alignment horizontal="center"/>
      <protection hidden="1"/>
    </xf>
    <xf numFmtId="0" fontId="23" fillId="2" borderId="10" xfId="0" applyFont="1" applyFill="1" applyBorder="1" applyAlignment="1" applyProtection="1">
      <alignment horizontal="center"/>
      <protection hidden="1"/>
    </xf>
    <xf numFmtId="0" fontId="32" fillId="0" borderId="11" xfId="0" applyFont="1" applyFill="1" applyBorder="1" applyAlignment="1" applyProtection="1">
      <alignment horizontal="center"/>
      <protection hidden="1"/>
    </xf>
    <xf numFmtId="0" fontId="32" fillId="0" borderId="0" xfId="0" applyFont="1" applyFill="1" applyAlignment="1" applyProtection="1">
      <alignment horizontal="right"/>
      <protection hidden="1"/>
    </xf>
    <xf numFmtId="0" fontId="32" fillId="0" borderId="0" xfId="0" applyFont="1" applyFill="1" applyProtection="1">
      <protection hidden="1"/>
    </xf>
    <xf numFmtId="0" fontId="25" fillId="0" borderId="0" xfId="0" applyFont="1" applyFill="1"/>
    <xf numFmtId="0" fontId="24" fillId="0" borderId="0" xfId="0" applyFont="1" applyFill="1" applyAlignment="1" applyProtection="1">
      <alignment horizontal="center"/>
      <protection hidden="1"/>
    </xf>
    <xf numFmtId="0" fontId="24" fillId="3" borderId="9" xfId="0" applyFont="1" applyFill="1" applyBorder="1" applyProtection="1">
      <protection hidden="1"/>
    </xf>
    <xf numFmtId="0" fontId="23" fillId="3" borderId="10" xfId="0" applyFont="1" applyFill="1" applyBorder="1" applyAlignment="1" applyProtection="1">
      <alignment horizontal="center"/>
      <protection hidden="1"/>
    </xf>
    <xf numFmtId="0" fontId="25" fillId="0" borderId="0" xfId="0" applyFont="1" applyAlignment="1">
      <alignment horizontal="right"/>
    </xf>
  </cellXfs>
  <cellStyles count="6">
    <cellStyle name="Followed Hyperlink" xfId="3" builtinId="9" hidden="1"/>
    <cellStyle name="Followed Hyperlink" xfId="5" builtinId="9" hidden="1"/>
    <cellStyle name="Hyperlink" xfId="2" builtinId="8" hidden="1"/>
    <cellStyle name="Hyperlink" xfId="4" builtinId="8" hidden="1"/>
    <cellStyle name="Normal" xfId="0" builtinId="0"/>
    <cellStyle name="Normal 2" xfId="1"/>
  </cellStyles>
  <dxfs count="0"/>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 Type="http://schemas.openxmlformats.org/officeDocument/2006/relationships/sharedStrings" Target="sharedStrings.xml"/><Relationship Id="rId12"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theme" Target="theme/theme1.xml"/><Relationship Id="rId1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127000</xdr:rowOff>
    </xdr:from>
    <xdr:ext cx="11074400" cy="7239000"/>
    <xdr:sp macro="" textlink="">
      <xdr:nvSpPr>
        <xdr:cNvPr id="2" name="TextBox 1"/>
        <xdr:cNvSpPr txBox="1"/>
      </xdr:nvSpPr>
      <xdr:spPr>
        <a:xfrm>
          <a:off x="114300" y="127000"/>
          <a:ext cx="11074400" cy="7239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spcAft>
              <a:spcPts val="300"/>
            </a:spcAft>
          </a:pPr>
          <a:r>
            <a:rPr lang="en-US" sz="1400" b="1"/>
            <a:t>Thermodynamic Activity Calculator for Solid and Liquid Non-Polar Organic Chemicals in Environmental Media</a:t>
          </a:r>
        </a:p>
        <a:p>
          <a:pPr algn="ctr"/>
          <a:endParaRPr lang="en-US" sz="1200" b="1"/>
        </a:p>
        <a:p>
          <a:pPr algn="ctr"/>
          <a:r>
            <a:rPr lang="en-US" sz="1200" b="1"/>
            <a:t>Authors : Frank A. P. C. Gobas, S. Victoria Otton,</a:t>
          </a:r>
          <a:r>
            <a:rPr lang="en-US" sz="1200" b="1" baseline="0"/>
            <a:t> </a:t>
          </a:r>
          <a:r>
            <a:rPr lang="en-US" sz="1200" b="1"/>
            <a:t>Laura F. Tupper-Ring, and Meara A. Crawford</a:t>
          </a:r>
        </a:p>
        <a:p>
          <a:pPr algn="ctr"/>
          <a:r>
            <a:rPr lang="en-US" sz="1200" b="1"/>
            <a:t>Copyright © 23 November 2015: Environmental Toxicology Research Group at Simon Fraser University</a:t>
          </a:r>
        </a:p>
        <a:p>
          <a:pPr algn="ctr"/>
          <a:endParaRPr lang="en-US" sz="1100"/>
        </a:p>
        <a:p>
          <a:r>
            <a:rPr lang="en-US" sz="1100" b="1"/>
            <a:t>Purpose of the Calculator:</a:t>
          </a:r>
          <a:endParaRPr lang="en-US" sz="1100"/>
        </a:p>
        <a:p>
          <a:pPr marL="228600" indent="-228600">
            <a:buFont typeface="+mj-lt"/>
            <a:buAutoNum type="arabicPeriod"/>
          </a:pPr>
          <a:r>
            <a:rPr lang="en-US" sz="1100"/>
            <a:t>The purpose of the</a:t>
          </a:r>
          <a:r>
            <a:rPr lang="en-US" sz="1100" baseline="0"/>
            <a:t> Activity Calculator  is</a:t>
          </a:r>
          <a:r>
            <a:rPr lang="en-US" sz="1100"/>
            <a:t> to express concentrations of chemicals in various environmental media in terms of their thermodynamic activity.</a:t>
          </a:r>
        </a:p>
        <a:p>
          <a:pPr marL="228600" indent="-228600">
            <a:spcAft>
              <a:spcPts val="600"/>
            </a:spcAft>
            <a:buFont typeface="+mj-lt"/>
            <a:buAutoNum type="arabicPeriod"/>
          </a:pPr>
          <a:r>
            <a:rPr lang="en-US" sz="1100"/>
            <a:t>This conversion can express concentrations of chemicals in multiple environmental media on a common basis, such that concentrations of chemicals in various media can be compared to conduct chemical pathway analysis and risk assessment.</a:t>
          </a:r>
        </a:p>
        <a:p>
          <a:r>
            <a:rPr lang="en-US" sz="1100" b="1"/>
            <a:t>How to use the Calculator:</a:t>
          </a:r>
        </a:p>
        <a:p>
          <a:pPr marL="228600" indent="-228600">
            <a:spcAft>
              <a:spcPts val="300"/>
            </a:spcAft>
            <a:buFont typeface="+mj-lt"/>
            <a:buAutoNum type="arabicPeriod"/>
          </a:pPr>
          <a:r>
            <a:rPr lang="en-US" sz="1100"/>
            <a:t>Go to Chemical Input Data Worksheet and Enter the required properties where indicated. Entries are in </a:t>
          </a:r>
          <a:r>
            <a:rPr lang="en-US" sz="1100" b="1">
              <a:solidFill>
                <a:srgbClr val="FF0000"/>
              </a:solidFill>
            </a:rPr>
            <a:t>RED.</a:t>
          </a:r>
        </a:p>
        <a:p>
          <a:pPr marL="685800" lvl="1" indent="-228600">
            <a:spcAft>
              <a:spcPts val="300"/>
            </a:spcAft>
            <a:buFont typeface="Arial"/>
            <a:buChar char="•"/>
          </a:pPr>
          <a:r>
            <a:rPr lang="en-US" sz="1100"/>
            <a:t>  If input data are not available, you can enter the Default Values in </a:t>
          </a:r>
          <a:r>
            <a:rPr lang="en-US" sz="1100" b="1"/>
            <a:t>BLACK.</a:t>
          </a:r>
        </a:p>
        <a:p>
          <a:pPr marL="685800" lvl="1" indent="-228600">
            <a:spcAft>
              <a:spcPts val="300"/>
            </a:spcAft>
            <a:buFont typeface="Arial"/>
            <a:buChar char="•"/>
          </a:pPr>
          <a:r>
            <a:rPr lang="en-US" sz="1100"/>
            <a:t>  If estimated chemical property data in </a:t>
          </a:r>
          <a:r>
            <a:rPr lang="en-US" sz="1100" b="1">
              <a:solidFill>
                <a:srgbClr val="0000FF"/>
              </a:solidFill>
            </a:rPr>
            <a:t>BLUE</a:t>
          </a:r>
          <a:r>
            <a:rPr lang="en-US" sz="1100"/>
            <a:t> are not appropriate, overwrite the values with appropriate values. </a:t>
          </a:r>
        </a:p>
        <a:p>
          <a:pPr marL="685800" lvl="1" indent="-228600">
            <a:spcAft>
              <a:spcPts val="300"/>
            </a:spcAft>
            <a:buFont typeface="Arial"/>
            <a:buChar char="•"/>
          </a:pPr>
          <a:r>
            <a:rPr lang="en-US" sz="1100"/>
            <a:t>  Values in</a:t>
          </a:r>
          <a:r>
            <a:rPr lang="en-US" sz="1100">
              <a:solidFill>
                <a:schemeClr val="bg1">
                  <a:lumMod val="65000"/>
                </a:schemeClr>
              </a:solidFill>
            </a:rPr>
            <a:t> </a:t>
          </a:r>
          <a:r>
            <a:rPr lang="en-US" sz="1100" b="1">
              <a:solidFill>
                <a:schemeClr val="bg1">
                  <a:lumMod val="65000"/>
                </a:schemeClr>
              </a:solidFill>
            </a:rPr>
            <a:t>GREY </a:t>
          </a:r>
          <a:r>
            <a:rPr lang="en-US" sz="1100"/>
            <a:t>cannot be overwritten.</a:t>
          </a:r>
        </a:p>
        <a:p>
          <a:pPr marL="228600" indent="-228600">
            <a:spcAft>
              <a:spcPts val="300"/>
            </a:spcAft>
            <a:buFont typeface="+mj-lt"/>
            <a:buAutoNum type="arabicPeriod"/>
          </a:pPr>
          <a:r>
            <a:rPr lang="en-US" sz="1100"/>
            <a:t>Go to the General Parameter Sheet and confirm that the listed general parameters are appropriate. If not appropriate, overwrite the values in </a:t>
          </a:r>
          <a:r>
            <a:rPr lang="en-US" sz="1100" b="1">
              <a:solidFill>
                <a:srgbClr val="0000FF"/>
              </a:solidFill>
            </a:rPr>
            <a:t>BLUE</a:t>
          </a:r>
          <a:r>
            <a:rPr lang="en-US" sz="1100"/>
            <a:t> with the correct values.</a:t>
          </a:r>
        </a:p>
        <a:p>
          <a:pPr marL="228600" indent="-228600">
            <a:spcAft>
              <a:spcPts val="300"/>
            </a:spcAft>
            <a:buFont typeface="+mj-lt"/>
            <a:buAutoNum type="arabicPeriod"/>
          </a:pPr>
          <a:r>
            <a:rPr lang="en-US" sz="1100"/>
            <a:t>Go to the worksheet Air or Aqueous Media or Biological Media or Particulate Media and enter the required data in </a:t>
          </a:r>
          <a:r>
            <a:rPr lang="en-US" sz="1100" b="1">
              <a:solidFill>
                <a:srgbClr val="FF0000"/>
              </a:solidFill>
            </a:rPr>
            <a:t>RED</a:t>
          </a:r>
          <a:r>
            <a:rPr lang="en-US" sz="1100"/>
            <a:t>. Note that for some entries helpful comments are available.  Click on the </a:t>
          </a:r>
          <a:r>
            <a:rPr lang="en-US" sz="1100" baseline="0"/>
            <a:t>red triangle of the cell to receive some suggestions.</a:t>
          </a:r>
          <a:endParaRPr lang="en-US" sz="1100"/>
        </a:p>
        <a:p>
          <a:pPr marL="228600" indent="-228600">
            <a:spcAft>
              <a:spcPts val="300"/>
            </a:spcAft>
            <a:buFont typeface="+mj-lt"/>
            <a:buAutoNum type="arabicPeriod"/>
          </a:pPr>
          <a:r>
            <a:rPr lang="en-US" sz="1100"/>
            <a:t>On each media sheet, read the thermodynamic activity of the chemical corresponding to the concentration that you entered in that worksheet. The corresponding fugacity is also presented. </a:t>
          </a:r>
        </a:p>
        <a:p>
          <a:pPr marL="228600" indent="-228600">
            <a:spcAft>
              <a:spcPts val="600"/>
            </a:spcAft>
            <a:buFont typeface="+mj-lt"/>
            <a:buAutoNum type="arabicPeriod"/>
          </a:pPr>
          <a:r>
            <a:rPr lang="en-US" sz="1100"/>
            <a:t>If necessary, go to Solubility|Partition Coefficient worksheet to confirm the use of appropriate solubilities and partition coefficients by the calculator.  </a:t>
          </a:r>
        </a:p>
        <a:p>
          <a:endParaRPr lang="en-US" sz="1100" b="1"/>
        </a:p>
        <a:p>
          <a:pPr marL="0" marR="0" indent="0" defTabSz="914400" eaLnBrk="1" fontAlgn="auto" latinLnBrk="0" hangingPunct="1">
            <a:lnSpc>
              <a:spcPct val="100000"/>
            </a:lnSpc>
            <a:spcBef>
              <a:spcPts val="0"/>
            </a:spcBef>
            <a:spcAft>
              <a:spcPts val="0"/>
            </a:spcAft>
            <a:buClrTx/>
            <a:buSzTx/>
            <a:buFontTx/>
            <a:buNone/>
            <a:tabLst/>
            <a:defRPr/>
          </a:pPr>
          <a:r>
            <a:rPr lang="en-US" sz="1100" b="1"/>
            <a:t>Domain of Applicability:</a:t>
          </a:r>
        </a:p>
        <a:p>
          <a:endParaRPr lang="en-US" sz="1100" b="0"/>
        </a:p>
        <a:p>
          <a:r>
            <a:rPr lang="en-US" sz="1100" b="0"/>
            <a:t>The Activity Calculator </a:t>
          </a:r>
          <a:r>
            <a:rPr lang="en-US" sz="1100" b="0" baseline="0"/>
            <a:t>is developed for non-polar organic chemicals with a  log Kow  &gt; 1 in environmental media including  dilute aqueous solutions, natural water, air, sediments, soils, whole animals and animal tissues. </a:t>
          </a:r>
          <a:endParaRPr lang="en-US" sz="1100" b="0"/>
        </a:p>
        <a:p>
          <a:endParaRPr lang="en-US" sz="1100" b="1"/>
        </a:p>
        <a:p>
          <a:r>
            <a:rPr lang="en-US" sz="1100" b="1"/>
            <a:t>Notes:</a:t>
          </a:r>
        </a:p>
        <a:p>
          <a:pPr marL="228600" indent="-228600">
            <a:buFont typeface="+mj-lt"/>
            <a:buAutoNum type="arabicPeriod"/>
          </a:pPr>
          <a:r>
            <a:rPr lang="en-US" sz="1100">
              <a:latin typeface="+mn-lt"/>
            </a:rPr>
            <a:t>The spread-sheet can be used to calculate the thermodynamic activity </a:t>
          </a:r>
          <a:r>
            <a:rPr lang="en-US" sz="1100" baseline="0">
              <a:latin typeface="+mn-lt"/>
            </a:rPr>
            <a:t> of</a:t>
          </a:r>
          <a:r>
            <a:rPr lang="en-US" sz="1100">
              <a:latin typeface="+mn-lt"/>
            </a:rPr>
            <a:t> </a:t>
          </a:r>
          <a:r>
            <a:rPr lang="en-US" sz="1100" baseline="0">
              <a:latin typeface="+mn-lt"/>
            </a:rPr>
            <a:t>a chemical substance i</a:t>
          </a:r>
          <a:r>
            <a:rPr lang="en-US" sz="1100">
              <a:latin typeface="+mn-lt"/>
            </a:rPr>
            <a:t>n multiple media, but only if the environmental temperatures in the environmental media are the same.</a:t>
          </a:r>
        </a:p>
        <a:p>
          <a:pPr marL="228600" indent="-228600">
            <a:buFont typeface="+mj-lt"/>
            <a:buAutoNum type="arabicPeriod"/>
          </a:pPr>
          <a:r>
            <a:rPr lang="en-US" sz="1100">
              <a:latin typeface="+mn-lt"/>
            </a:rPr>
            <a:t>The model allows the temperature dependence of Kair-water and Koctanol-air to be defined. The temperature dependence of Koctanol-water, Kprotein-water, Klipid-water and Korganic-carbon-water is usually small and hence ignored by the model.  </a:t>
          </a:r>
        </a:p>
        <a:p>
          <a:pPr marL="228600" indent="-228600">
            <a:buFont typeface="+mj-lt"/>
            <a:buAutoNum type="arabicPeriod"/>
          </a:pPr>
          <a:r>
            <a:rPr lang="en-US" sz="1100">
              <a:latin typeface="+mn-lt"/>
            </a:rPr>
            <a:t>na means not applicable.</a:t>
          </a:r>
        </a:p>
        <a:p>
          <a:pPr marL="0" indent="0">
            <a:buFontTx/>
            <a:buNone/>
          </a:pPr>
          <a:endParaRPr lang="en-US" sz="1100" b="1">
            <a:latin typeface="+mn-lt"/>
          </a:endParaRPr>
        </a:p>
        <a:p>
          <a:pPr marL="0" indent="0">
            <a:buFontTx/>
            <a:buNone/>
          </a:pPr>
          <a:endParaRPr lang="en-US" sz="1100" b="1">
            <a:latin typeface="+mn-lt"/>
          </a:endParaRPr>
        </a:p>
        <a:p>
          <a:pPr marL="0" indent="0">
            <a:buFontTx/>
            <a:buNone/>
          </a:pPr>
          <a:r>
            <a:rPr lang="en-US" sz="1100" b="1">
              <a:latin typeface="+mn-lt"/>
            </a:rPr>
            <a:t>Please</a:t>
          </a:r>
          <a:r>
            <a:rPr lang="en-US" sz="1100" b="1" baseline="0">
              <a:latin typeface="+mn-lt"/>
            </a:rPr>
            <a:t> cite this model as: </a:t>
          </a:r>
        </a:p>
        <a:p>
          <a:pPr marL="457200" lvl="1" indent="0">
            <a:buFontTx/>
            <a:buNone/>
          </a:pPr>
          <a:r>
            <a:rPr lang="en-US" sz="1100">
              <a:latin typeface="+mn-lt"/>
            </a:rPr>
            <a:t>Gobas, F.A.P.</a:t>
          </a:r>
          <a:r>
            <a:rPr lang="en-US" sz="1100" baseline="0">
              <a:latin typeface="+mn-lt"/>
            </a:rPr>
            <a:t>, Otton, S.V., Tupper-Ring, L.F.  and M.A. Crawford. 2015. Thermodynamic Activity Calculator for Solid and Liquid Hydrophobic Organic Chemicals in Environmental Media: Excel Model Version 1.1. </a:t>
          </a:r>
        </a:p>
        <a:p>
          <a:pPr marL="0" indent="0">
            <a:buFontTx/>
            <a:buNone/>
          </a:pPr>
          <a:endParaRPr lang="en-US" sz="1100" baseline="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2.vml"/><Relationship Id="rId2"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3.vml"/><Relationship Id="rId2"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pageSetUpPr fitToPage="1"/>
  </sheetPr>
  <dimension ref="A1:B2"/>
  <sheetViews>
    <sheetView showGridLines="0" tabSelected="1" view="pageLayout" workbookViewId="0">
      <selection activeCell="A40" sqref="A40"/>
    </sheetView>
  </sheetViews>
  <sheetFormatPr baseColWidth="10" defaultColWidth="10.83203125" defaultRowHeight="16" x14ac:dyDescent="0.2"/>
  <cols>
    <col min="1" max="1" width="6.6640625" style="59" bestFit="1" customWidth="1"/>
    <col min="2" max="2" width="22.6640625" style="59" bestFit="1" customWidth="1"/>
    <col min="3" max="16384" width="10.83203125" style="59"/>
  </cols>
  <sheetData>
    <row r="1" spans="1:2" x14ac:dyDescent="0.2">
      <c r="A1" s="61"/>
      <c r="B1" s="61"/>
    </row>
    <row r="2" spans="1:2" ht="14" customHeight="1" x14ac:dyDescent="0.2">
      <c r="A2" s="61"/>
      <c r="B2" s="62"/>
    </row>
  </sheetData>
  <sheetProtection password="A2E8" sheet="1" objects="1" scenarios="1" formatCells="0"/>
  <customSheetViews>
    <customSheetView guid="{82F232E5-57E6-2D41-958D-D8709BEC5D76}">
      <selection activeCell="B4" sqref="B4"/>
      <pageMargins left="0.7" right="0.7" top="0.75" bottom="0.75" header="0.3" footer="0.3"/>
      <pageSetup orientation="portrait" horizontalDpi="4294967292" verticalDpi="4294967292"/>
    </customSheetView>
  </customSheetViews>
  <phoneticPr fontId="3" type="noConversion"/>
  <printOptions horizontalCentered="1" verticalCentered="1"/>
  <pageMargins left="0.75" right="0.75" top="1" bottom="1" header="0.5" footer="0.5"/>
  <pageSetup scale="76" orientation="landscape" horizontalDpi="4294967292" verticalDpi="4294967292"/>
  <headerFooter>
    <oddHeader>&amp;L&amp;"+,Regular"&amp;K000000Environmental Toxicology Research Group_x000D_Simon Fraser University © November 23, 2015&amp;CActivity Calculator Version 1.1_x000D_December 4, 2015&amp;RActivity Research Group_x000D_</oddHeader>
    <oddFooter>&amp;L&amp;K000000&amp;F&amp;C&amp;"+,Regular"&amp;K000000&amp;P of &amp;N&amp;R&amp;"+,Regular"&amp;K000000&amp;A</oddFooter>
  </headerFooter>
  <drawing r:id="rId1"/>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9" tint="0.39997558519241921"/>
    <pageSetUpPr fitToPage="1"/>
  </sheetPr>
  <dimension ref="A1:J62"/>
  <sheetViews>
    <sheetView workbookViewId="0">
      <selection activeCell="C7" sqref="C7"/>
    </sheetView>
  </sheetViews>
  <sheetFormatPr baseColWidth="10" defaultColWidth="8.83203125" defaultRowHeight="16" x14ac:dyDescent="0.2"/>
  <cols>
    <col min="1" max="1" width="61.5" style="4" customWidth="1"/>
    <col min="2" max="2" width="19" style="4" bestFit="1" customWidth="1"/>
    <col min="3" max="3" width="12.1640625" style="4" bestFit="1" customWidth="1"/>
    <col min="4" max="4" width="14" style="4" customWidth="1"/>
    <col min="5" max="5" width="12.5" style="73" customWidth="1"/>
    <col min="6" max="6" width="6.1640625" style="4" hidden="1" customWidth="1"/>
    <col min="7" max="7" width="11" style="13" hidden="1" customWidth="1"/>
    <col min="9" max="9" width="9.1640625" style="4" customWidth="1"/>
  </cols>
  <sheetData>
    <row r="1" spans="1:7" x14ac:dyDescent="0.2">
      <c r="A1" s="24" t="s">
        <v>232</v>
      </c>
      <c r="B1" s="1"/>
      <c r="C1" s="1"/>
      <c r="D1" s="1"/>
    </row>
    <row r="2" spans="1:7" ht="17" thickBot="1" x14ac:dyDescent="0.25">
      <c r="A2" s="1"/>
      <c r="B2" s="1"/>
      <c r="C2" s="1"/>
      <c r="D2" s="1"/>
    </row>
    <row r="3" spans="1:7" x14ac:dyDescent="0.2">
      <c r="A3" s="43" t="s">
        <v>121</v>
      </c>
      <c r="B3" s="44" t="s">
        <v>10</v>
      </c>
      <c r="C3" s="44" t="s">
        <v>2</v>
      </c>
      <c r="D3" s="166" t="s">
        <v>1</v>
      </c>
      <c r="E3" s="167" t="s">
        <v>19</v>
      </c>
      <c r="F3" s="27"/>
      <c r="G3" s="46" t="s">
        <v>9</v>
      </c>
    </row>
    <row r="4" spans="1:7" x14ac:dyDescent="0.2">
      <c r="A4" s="34" t="s">
        <v>0</v>
      </c>
      <c r="B4" s="37" t="s">
        <v>231</v>
      </c>
      <c r="C4" s="109" t="s">
        <v>230</v>
      </c>
      <c r="D4" s="168" t="s">
        <v>7</v>
      </c>
      <c r="E4" s="169"/>
    </row>
    <row r="5" spans="1:7" x14ac:dyDescent="0.2">
      <c r="A5" s="35" t="s">
        <v>23</v>
      </c>
      <c r="B5" s="2"/>
      <c r="C5" s="111"/>
      <c r="D5" s="168"/>
      <c r="E5" s="169"/>
      <c r="G5" s="47"/>
    </row>
    <row r="6" spans="1:7" x14ac:dyDescent="0.2">
      <c r="A6" s="36" t="s">
        <v>132</v>
      </c>
      <c r="B6" s="37" t="s">
        <v>231</v>
      </c>
      <c r="C6" s="112">
        <v>20</v>
      </c>
      <c r="D6" s="170" t="s">
        <v>229</v>
      </c>
      <c r="E6" s="169">
        <v>25</v>
      </c>
      <c r="F6" s="14"/>
      <c r="G6" s="13" t="s">
        <v>24</v>
      </c>
    </row>
    <row r="7" spans="1:7" x14ac:dyDescent="0.2">
      <c r="A7" s="36" t="s">
        <v>120</v>
      </c>
      <c r="B7" s="37" t="s">
        <v>231</v>
      </c>
      <c r="C7" s="112">
        <v>25</v>
      </c>
      <c r="D7" s="170" t="s">
        <v>229</v>
      </c>
      <c r="E7" s="169">
        <v>25</v>
      </c>
      <c r="F7" s="14"/>
      <c r="G7" s="13" t="s">
        <v>246</v>
      </c>
    </row>
    <row r="8" spans="1:7" x14ac:dyDescent="0.2">
      <c r="A8" s="35" t="s">
        <v>11</v>
      </c>
      <c r="B8" s="3" t="s">
        <v>7</v>
      </c>
      <c r="C8" s="108"/>
      <c r="D8" s="171"/>
      <c r="E8" s="172"/>
      <c r="F8" s="16"/>
      <c r="G8" s="48"/>
    </row>
    <row r="9" spans="1:7" x14ac:dyDescent="0.2">
      <c r="A9" s="38" t="s">
        <v>3</v>
      </c>
      <c r="B9" s="37" t="s">
        <v>231</v>
      </c>
      <c r="C9" s="113">
        <v>278.39999999999998</v>
      </c>
      <c r="D9" s="173" t="s">
        <v>63</v>
      </c>
      <c r="E9" s="169" t="s">
        <v>20</v>
      </c>
      <c r="F9" s="14"/>
      <c r="G9" s="26" t="s">
        <v>21</v>
      </c>
    </row>
    <row r="10" spans="1:7" x14ac:dyDescent="0.2">
      <c r="A10" s="38" t="s">
        <v>15</v>
      </c>
      <c r="B10" s="37" t="s">
        <v>231</v>
      </c>
      <c r="C10" s="113">
        <v>4.2699999999999996</v>
      </c>
      <c r="D10" s="173" t="s">
        <v>8</v>
      </c>
      <c r="E10" s="169" t="s">
        <v>20</v>
      </c>
      <c r="F10" s="14"/>
      <c r="G10" s="26" t="s">
        <v>14</v>
      </c>
    </row>
    <row r="11" spans="1:7" x14ac:dyDescent="0.2">
      <c r="A11" s="38" t="s">
        <v>247</v>
      </c>
      <c r="B11" s="37" t="s">
        <v>231</v>
      </c>
      <c r="C11" s="113">
        <v>3.56E-2</v>
      </c>
      <c r="D11" s="173" t="s">
        <v>64</v>
      </c>
      <c r="E11" s="169" t="s">
        <v>20</v>
      </c>
      <c r="F11" s="14"/>
      <c r="G11" s="26" t="s">
        <v>6</v>
      </c>
    </row>
    <row r="12" spans="1:7" x14ac:dyDescent="0.2">
      <c r="A12" s="38" t="s">
        <v>248</v>
      </c>
      <c r="B12" s="37" t="s">
        <v>231</v>
      </c>
      <c r="C12" s="113">
        <v>4.7299999999999998E-3</v>
      </c>
      <c r="D12" s="173" t="s">
        <v>4</v>
      </c>
      <c r="E12" s="169" t="s">
        <v>20</v>
      </c>
      <c r="F12" s="14"/>
      <c r="G12" s="26" t="s">
        <v>22</v>
      </c>
    </row>
    <row r="13" spans="1:7" x14ac:dyDescent="0.2">
      <c r="A13" s="38" t="s">
        <v>12</v>
      </c>
      <c r="B13" s="37" t="s">
        <v>231</v>
      </c>
      <c r="C13" s="113">
        <v>150</v>
      </c>
      <c r="D13" s="170" t="s">
        <v>229</v>
      </c>
      <c r="E13" s="169" t="s">
        <v>20</v>
      </c>
      <c r="F13" s="14"/>
      <c r="G13" s="26" t="s">
        <v>13</v>
      </c>
    </row>
    <row r="14" spans="1:7" x14ac:dyDescent="0.2">
      <c r="A14" s="38" t="s">
        <v>106</v>
      </c>
      <c r="B14" s="37" t="s">
        <v>231</v>
      </c>
      <c r="C14" s="113">
        <v>20</v>
      </c>
      <c r="D14" s="173" t="s">
        <v>91</v>
      </c>
      <c r="E14" s="169">
        <v>0</v>
      </c>
      <c r="F14" s="14"/>
      <c r="G14" s="26" t="s">
        <v>90</v>
      </c>
    </row>
    <row r="15" spans="1:7" x14ac:dyDescent="0.2">
      <c r="A15" s="38" t="s">
        <v>223</v>
      </c>
      <c r="B15" s="37" t="s">
        <v>231</v>
      </c>
      <c r="C15" s="113">
        <v>34</v>
      </c>
      <c r="D15" s="173" t="s">
        <v>91</v>
      </c>
      <c r="E15" s="169">
        <v>0</v>
      </c>
      <c r="F15" s="14"/>
      <c r="G15" s="26" t="s">
        <v>105</v>
      </c>
    </row>
    <row r="16" spans="1:7" x14ac:dyDescent="0.2">
      <c r="A16" s="38"/>
      <c r="B16" s="39"/>
      <c r="C16" s="114"/>
      <c r="D16" s="173"/>
      <c r="E16" s="169"/>
      <c r="F16" s="14"/>
      <c r="G16" s="26"/>
    </row>
    <row r="17" spans="1:7" x14ac:dyDescent="0.2">
      <c r="A17" s="38" t="s">
        <v>44</v>
      </c>
      <c r="B17" s="40" t="s">
        <v>222</v>
      </c>
      <c r="C17" s="115">
        <f>E17</f>
        <v>3.8140680443502757</v>
      </c>
      <c r="D17" s="173" t="s">
        <v>51</v>
      </c>
      <c r="E17" s="174">
        <f>LOG(0.35*10^logKow)</f>
        <v>3.8140680443502757</v>
      </c>
      <c r="F17" s="25"/>
      <c r="G17" s="26" t="s">
        <v>45</v>
      </c>
    </row>
    <row r="18" spans="1:7" x14ac:dyDescent="0.2">
      <c r="A18" s="38" t="s">
        <v>79</v>
      </c>
      <c r="B18" s="40" t="s">
        <v>222</v>
      </c>
      <c r="C18" s="115">
        <f>E18</f>
        <v>4.2699999999999996</v>
      </c>
      <c r="D18" s="173" t="s">
        <v>8</v>
      </c>
      <c r="E18" s="174">
        <f>logKow</f>
        <v>4.2699999999999996</v>
      </c>
      <c r="F18" s="25"/>
      <c r="G18" s="26" t="s">
        <v>78</v>
      </c>
    </row>
    <row r="19" spans="1:7" ht="17" thickBot="1" x14ac:dyDescent="0.25">
      <c r="A19" s="41" t="s">
        <v>80</v>
      </c>
      <c r="B19" s="42" t="s">
        <v>222</v>
      </c>
      <c r="C19" s="116">
        <f>E19</f>
        <v>2.9689700043360188</v>
      </c>
      <c r="D19" s="175" t="s">
        <v>8</v>
      </c>
      <c r="E19" s="176">
        <f>LOG(0.05*10^logKow)</f>
        <v>2.9689700043360188</v>
      </c>
      <c r="F19" s="25"/>
      <c r="G19" s="26" t="s">
        <v>81</v>
      </c>
    </row>
    <row r="20" spans="1:7" x14ac:dyDescent="0.2">
      <c r="F20" s="14"/>
    </row>
    <row r="21" spans="1:7" x14ac:dyDescent="0.2">
      <c r="A21" s="163" t="s">
        <v>25</v>
      </c>
      <c r="B21" s="80" t="s">
        <v>18</v>
      </c>
      <c r="C21" s="159" t="str">
        <f>IF(ISNUMBER(C13),IF(((T+273.15)/(Tm+273.15))&lt;1,"solid","liquid"),"liquid")</f>
        <v>solid</v>
      </c>
      <c r="D21" s="164"/>
      <c r="E21" s="80" t="s">
        <v>89</v>
      </c>
      <c r="F21" s="66"/>
      <c r="G21" s="64" t="s">
        <v>26</v>
      </c>
    </row>
    <row r="22" spans="1:7" x14ac:dyDescent="0.2">
      <c r="A22" s="165" t="s">
        <v>109</v>
      </c>
      <c r="B22" s="80" t="s">
        <v>18</v>
      </c>
      <c r="C22" s="160">
        <f>IF(Phase="solid",(EXP(-6.79*((Tm+273.15)/(273.15+T)-1))),1)</f>
        <v>4.92381536904491E-2</v>
      </c>
      <c r="D22" s="80" t="s">
        <v>8</v>
      </c>
      <c r="E22" s="80" t="s">
        <v>89</v>
      </c>
      <c r="F22" s="66"/>
      <c r="G22" s="65" t="s">
        <v>17</v>
      </c>
    </row>
    <row r="23" spans="1:7" x14ac:dyDescent="0.2">
      <c r="A23" s="163" t="s">
        <v>110</v>
      </c>
      <c r="B23" s="80" t="s">
        <v>18</v>
      </c>
      <c r="C23" s="160">
        <f>IF(Phase="solid",Sw/F,"na")</f>
        <v>0.7230165498042519</v>
      </c>
      <c r="D23" s="164" t="s">
        <v>64</v>
      </c>
      <c r="E23" s="80" t="s">
        <v>89</v>
      </c>
      <c r="F23" s="66"/>
      <c r="G23" s="64" t="s">
        <v>30</v>
      </c>
    </row>
    <row r="24" spans="1:7" x14ac:dyDescent="0.2">
      <c r="A24" s="79"/>
      <c r="B24" s="80"/>
      <c r="C24" s="160"/>
      <c r="D24" s="80"/>
      <c r="E24" s="80" t="s">
        <v>7</v>
      </c>
      <c r="F24" s="66"/>
      <c r="G24" s="67"/>
    </row>
    <row r="25" spans="1:7" x14ac:dyDescent="0.2">
      <c r="A25" s="163" t="s">
        <v>236</v>
      </c>
      <c r="B25" s="80" t="s">
        <v>18</v>
      </c>
      <c r="C25" s="160">
        <f>Sw*TempCor</f>
        <v>3.1023059985808087E-2</v>
      </c>
      <c r="D25" s="80" t="s">
        <v>64</v>
      </c>
      <c r="E25" s="80" t="s">
        <v>89</v>
      </c>
      <c r="F25" s="66"/>
      <c r="G25" s="64" t="s">
        <v>111</v>
      </c>
    </row>
    <row r="26" spans="1:7" x14ac:dyDescent="0.2">
      <c r="A26" s="163" t="s">
        <v>237</v>
      </c>
      <c r="B26" s="80" t="s">
        <v>18</v>
      </c>
      <c r="C26" s="161">
        <f>0.001*SwT*MW</f>
        <v>8.6368199000489698E-3</v>
      </c>
      <c r="D26" s="80" t="s">
        <v>83</v>
      </c>
      <c r="E26" s="80" t="s">
        <v>89</v>
      </c>
      <c r="F26" s="66"/>
      <c r="G26" s="64" t="s">
        <v>114</v>
      </c>
    </row>
    <row r="27" spans="1:7" x14ac:dyDescent="0.2">
      <c r="A27" s="79" t="s">
        <v>113</v>
      </c>
      <c r="B27" s="80" t="s">
        <v>18</v>
      </c>
      <c r="C27" s="160">
        <f>IF(ISNUMBER(C14),EXP((dHs/0.008314)*((1/(273.15+Tstandard))-(1/(273.15+T)))),1)</f>
        <v>0.87143426926427214</v>
      </c>
      <c r="D27" s="80" t="s">
        <v>8</v>
      </c>
      <c r="E27" s="80" t="s">
        <v>89</v>
      </c>
      <c r="F27" s="66"/>
      <c r="G27" s="67" t="s">
        <v>112</v>
      </c>
    </row>
    <row r="28" spans="1:7" x14ac:dyDescent="0.2">
      <c r="A28" s="79"/>
      <c r="B28" s="80"/>
      <c r="C28" s="160"/>
      <c r="D28" s="80"/>
      <c r="E28" s="80" t="s">
        <v>7</v>
      </c>
      <c r="F28" s="66"/>
      <c r="G28" s="67"/>
    </row>
    <row r="29" spans="1:7" x14ac:dyDescent="0.2">
      <c r="A29" s="163" t="s">
        <v>224</v>
      </c>
      <c r="B29" s="80" t="s">
        <v>18</v>
      </c>
      <c r="C29" s="160">
        <f>VP*TempCorAir</f>
        <v>3.7433464179755511E-3</v>
      </c>
      <c r="D29" s="80" t="s">
        <v>4</v>
      </c>
      <c r="E29" s="80" t="s">
        <v>89</v>
      </c>
      <c r="F29" s="66"/>
      <c r="G29" s="64" t="s">
        <v>115</v>
      </c>
    </row>
    <row r="30" spans="1:7" x14ac:dyDescent="0.2">
      <c r="A30" s="79" t="s">
        <v>238</v>
      </c>
      <c r="B30" s="80" t="s">
        <v>18</v>
      </c>
      <c r="C30" s="160">
        <f>VPT/(8.314*(273.15+T))</f>
        <v>1.5358899580578576E-6</v>
      </c>
      <c r="D30" s="80" t="s">
        <v>64</v>
      </c>
      <c r="E30" s="80" t="s">
        <v>89</v>
      </c>
      <c r="F30" s="66"/>
      <c r="G30" s="67" t="s">
        <v>124</v>
      </c>
    </row>
    <row r="31" spans="1:7" x14ac:dyDescent="0.2">
      <c r="A31" s="79" t="s">
        <v>239</v>
      </c>
      <c r="B31" s="80" t="s">
        <v>18</v>
      </c>
      <c r="C31" s="161">
        <f>SgasT*0.001*MW</f>
        <v>4.2759176432330753E-7</v>
      </c>
      <c r="D31" s="80" t="s">
        <v>83</v>
      </c>
      <c r="E31" s="80" t="s">
        <v>89</v>
      </c>
      <c r="F31" s="66"/>
      <c r="G31" s="67" t="s">
        <v>116</v>
      </c>
    </row>
    <row r="32" spans="1:7" x14ac:dyDescent="0.2">
      <c r="A32" s="79" t="s">
        <v>128</v>
      </c>
      <c r="B32" s="80" t="s">
        <v>18</v>
      </c>
      <c r="C32" s="160">
        <f>VP/(8.314*(273.15+Tstandard))</f>
        <v>1.9081666750106939E-6</v>
      </c>
      <c r="D32" s="80" t="s">
        <v>64</v>
      </c>
      <c r="E32" s="80" t="s">
        <v>89</v>
      </c>
      <c r="F32" s="66"/>
      <c r="G32" s="67" t="s">
        <v>103</v>
      </c>
    </row>
    <row r="33" spans="1:10" x14ac:dyDescent="0.2">
      <c r="A33" s="79" t="s">
        <v>275</v>
      </c>
      <c r="B33" s="80" t="s">
        <v>18</v>
      </c>
      <c r="C33" s="160">
        <f>IF(ISNUMBER(C15),EXP((dHv/0.008314)*((1/298.15)-(1/(273.15+T)))),1)</f>
        <v>0.79140516236269587</v>
      </c>
      <c r="D33" s="80" t="s">
        <v>8</v>
      </c>
      <c r="E33" s="80" t="s">
        <v>89</v>
      </c>
      <c r="F33" s="66"/>
      <c r="G33" s="67" t="s">
        <v>107</v>
      </c>
    </row>
    <row r="34" spans="1:10" x14ac:dyDescent="0.2">
      <c r="A34" s="79"/>
      <c r="B34" s="80" t="s">
        <v>7</v>
      </c>
      <c r="C34" s="160"/>
      <c r="D34" s="80"/>
      <c r="E34" s="80" t="s">
        <v>7</v>
      </c>
      <c r="F34" s="66"/>
      <c r="G34" s="67"/>
    </row>
    <row r="35" spans="1:10" x14ac:dyDescent="0.2">
      <c r="A35" s="163" t="s">
        <v>249</v>
      </c>
      <c r="B35" s="80" t="s">
        <v>18</v>
      </c>
      <c r="C35" s="162">
        <f>VP/Sw</f>
        <v>0.13286516853932584</v>
      </c>
      <c r="D35" s="164" t="s">
        <v>65</v>
      </c>
      <c r="E35" s="80" t="s">
        <v>89</v>
      </c>
      <c r="F35" s="66"/>
      <c r="G35" s="64" t="s">
        <v>5</v>
      </c>
    </row>
    <row r="36" spans="1:10" x14ac:dyDescent="0.2">
      <c r="A36" s="163" t="s">
        <v>117</v>
      </c>
      <c r="B36" s="80" t="s">
        <v>18</v>
      </c>
      <c r="C36" s="160">
        <f>VPT/SwT</f>
        <v>0.120663352347834</v>
      </c>
      <c r="D36" s="164" t="s">
        <v>65</v>
      </c>
      <c r="E36" s="80" t="s">
        <v>89</v>
      </c>
      <c r="F36" s="66"/>
      <c r="G36" s="64" t="s">
        <v>108</v>
      </c>
    </row>
    <row r="37" spans="1:10" x14ac:dyDescent="0.2">
      <c r="A37" s="163" t="s">
        <v>119</v>
      </c>
      <c r="B37" s="80" t="s">
        <v>18</v>
      </c>
      <c r="C37" s="162">
        <f>Hlaw/(8.314*(Tstandard+273.15))</f>
        <v>5.360018750030039E-5</v>
      </c>
      <c r="D37" s="164" t="s">
        <v>8</v>
      </c>
      <c r="E37" s="80" t="s">
        <v>89</v>
      </c>
      <c r="F37" s="66"/>
      <c r="G37" s="64" t="s">
        <v>29</v>
      </c>
    </row>
    <row r="38" spans="1:10" x14ac:dyDescent="0.2">
      <c r="A38" s="163" t="s">
        <v>28</v>
      </c>
      <c r="B38" s="80" t="s">
        <v>18</v>
      </c>
      <c r="C38" s="160">
        <f>HlawT/(8.314*(T+273.15))</f>
        <v>4.9508009808203025E-5</v>
      </c>
      <c r="D38" s="164" t="s">
        <v>8</v>
      </c>
      <c r="E38" s="80" t="s">
        <v>89</v>
      </c>
      <c r="F38" s="66"/>
      <c r="G38" s="67" t="s">
        <v>118</v>
      </c>
    </row>
    <row r="39" spans="1:10" x14ac:dyDescent="0.2">
      <c r="A39" s="79"/>
      <c r="B39" s="80"/>
      <c r="C39" s="160"/>
      <c r="D39" s="80"/>
      <c r="E39" s="80" t="s">
        <v>7</v>
      </c>
      <c r="F39" s="66"/>
      <c r="G39" s="67"/>
    </row>
    <row r="40" spans="1:10" x14ac:dyDescent="0.2">
      <c r="A40" s="163" t="s">
        <v>250</v>
      </c>
      <c r="B40" s="80" t="s">
        <v>18</v>
      </c>
      <c r="C40" s="162">
        <f>10^logKow*Sw</f>
        <v>662.9030206519808</v>
      </c>
      <c r="D40" s="80" t="s">
        <v>64</v>
      </c>
      <c r="E40" s="80" t="s">
        <v>89</v>
      </c>
      <c r="F40" s="66"/>
      <c r="G40" s="64" t="s">
        <v>27</v>
      </c>
    </row>
    <row r="41" spans="1:10" x14ac:dyDescent="0.2">
      <c r="A41" s="163" t="s">
        <v>225</v>
      </c>
      <c r="B41" s="80" t="s">
        <v>18</v>
      </c>
      <c r="C41" s="160">
        <f>10^logKow*SwT</f>
        <v>577.67640939493754</v>
      </c>
      <c r="D41" s="80" t="s">
        <v>64</v>
      </c>
      <c r="E41" s="80" t="s">
        <v>89</v>
      </c>
      <c r="F41" s="66"/>
      <c r="G41" s="64" t="s">
        <v>122</v>
      </c>
    </row>
    <row r="42" spans="1:10" x14ac:dyDescent="0.2">
      <c r="A42" s="163" t="s">
        <v>251</v>
      </c>
      <c r="B42" s="80" t="s">
        <v>18</v>
      </c>
      <c r="C42" s="162">
        <f>LOG(10^logKow/Kaw)</f>
        <v>8.540833691087018</v>
      </c>
      <c r="D42" s="164" t="s">
        <v>8</v>
      </c>
      <c r="E42" s="80" t="s">
        <v>89</v>
      </c>
      <c r="F42" s="66"/>
      <c r="G42" s="64" t="s">
        <v>16</v>
      </c>
      <c r="J42" s="77"/>
    </row>
    <row r="43" spans="1:10" x14ac:dyDescent="0.2">
      <c r="A43" s="163" t="s">
        <v>123</v>
      </c>
      <c r="B43" s="80" t="s">
        <v>18</v>
      </c>
      <c r="C43" s="160">
        <f>LOG(SoT/SgasT)</f>
        <v>8.5753245316908924</v>
      </c>
      <c r="D43" s="164" t="s">
        <v>8</v>
      </c>
      <c r="E43" s="80" t="s">
        <v>89</v>
      </c>
      <c r="F43" s="66"/>
      <c r="G43" s="64" t="s">
        <v>16</v>
      </c>
    </row>
    <row r="44" spans="1:10" x14ac:dyDescent="0.2">
      <c r="A44" s="79"/>
      <c r="B44" s="80"/>
      <c r="C44" s="160" t="s">
        <v>7</v>
      </c>
      <c r="D44" s="80"/>
      <c r="E44" s="80" t="s">
        <v>7</v>
      </c>
      <c r="F44" s="66"/>
      <c r="G44" s="67"/>
    </row>
    <row r="45" spans="1:10" x14ac:dyDescent="0.2">
      <c r="A45" s="163" t="s">
        <v>252</v>
      </c>
      <c r="B45" s="80" t="s">
        <v>18</v>
      </c>
      <c r="C45" s="160">
        <f>10^logKoc*dOC*Sw</f>
        <v>232.01605722819346</v>
      </c>
      <c r="D45" s="80" t="s">
        <v>64</v>
      </c>
      <c r="E45" s="80" t="s">
        <v>89</v>
      </c>
      <c r="F45" s="66"/>
      <c r="G45" s="64" t="s">
        <v>133</v>
      </c>
    </row>
    <row r="46" spans="1:10" x14ac:dyDescent="0.2">
      <c r="A46" s="163" t="s">
        <v>226</v>
      </c>
      <c r="B46" s="80" t="s">
        <v>18</v>
      </c>
      <c r="C46" s="160">
        <f>10^logKoc*dOC*SwT</f>
        <v>202.18674328822831</v>
      </c>
      <c r="D46" s="80" t="s">
        <v>64</v>
      </c>
      <c r="E46" s="80" t="s">
        <v>89</v>
      </c>
      <c r="F46" s="66"/>
      <c r="G46" s="64" t="s">
        <v>135</v>
      </c>
    </row>
    <row r="47" spans="1:10" x14ac:dyDescent="0.2">
      <c r="A47" s="163"/>
      <c r="B47" s="80"/>
      <c r="C47" s="160"/>
      <c r="D47" s="80"/>
      <c r="E47" s="80" t="s">
        <v>7</v>
      </c>
      <c r="F47" s="66"/>
      <c r="G47" s="64"/>
    </row>
    <row r="48" spans="1:10" x14ac:dyDescent="0.2">
      <c r="A48" s="163" t="s">
        <v>253</v>
      </c>
      <c r="B48" s="80" t="s">
        <v>18</v>
      </c>
      <c r="C48" s="160">
        <f>10^logKLW*dlipid*Sw</f>
        <v>596.61271858678276</v>
      </c>
      <c r="D48" s="80" t="s">
        <v>64</v>
      </c>
      <c r="E48" s="80" t="s">
        <v>89</v>
      </c>
      <c r="F48" s="66"/>
      <c r="G48" s="64" t="s">
        <v>137</v>
      </c>
    </row>
    <row r="49" spans="1:7" x14ac:dyDescent="0.2">
      <c r="A49" s="163" t="s">
        <v>227</v>
      </c>
      <c r="B49" s="80" t="s">
        <v>18</v>
      </c>
      <c r="C49" s="160">
        <f>10^logKLW*dlipid*SwT</f>
        <v>519.90876845544381</v>
      </c>
      <c r="D49" s="80" t="s">
        <v>64</v>
      </c>
      <c r="E49" s="80" t="s">
        <v>89</v>
      </c>
      <c r="F49" s="66"/>
      <c r="G49" s="64" t="s">
        <v>138</v>
      </c>
    </row>
    <row r="50" spans="1:7" x14ac:dyDescent="0.2">
      <c r="A50" s="163"/>
      <c r="B50" s="80"/>
      <c r="C50" s="160"/>
      <c r="D50" s="80"/>
      <c r="E50" s="80" t="s">
        <v>7</v>
      </c>
      <c r="F50" s="66"/>
      <c r="G50" s="64"/>
    </row>
    <row r="51" spans="1:7" x14ac:dyDescent="0.2">
      <c r="A51" s="163" t="s">
        <v>254</v>
      </c>
      <c r="B51" s="80" t="s">
        <v>18</v>
      </c>
      <c r="C51" s="160">
        <f>10^logKPRW*dProtein*Sw</f>
        <v>29.830635929339156</v>
      </c>
      <c r="D51" s="80" t="s">
        <v>64</v>
      </c>
      <c r="E51" s="80" t="s">
        <v>89</v>
      </c>
      <c r="F51" s="66"/>
      <c r="G51" s="64" t="s">
        <v>139</v>
      </c>
    </row>
    <row r="52" spans="1:7" x14ac:dyDescent="0.2">
      <c r="A52" s="163" t="s">
        <v>228</v>
      </c>
      <c r="B52" s="80" t="s">
        <v>18</v>
      </c>
      <c r="C52" s="160">
        <f>10^logKPRW*dProtein*SwT</f>
        <v>25.995438422772207</v>
      </c>
      <c r="D52" s="80" t="s">
        <v>64</v>
      </c>
      <c r="E52" s="80" t="s">
        <v>89</v>
      </c>
      <c r="F52" s="66"/>
      <c r="G52" s="64" t="s">
        <v>140</v>
      </c>
    </row>
    <row r="53" spans="1:7" x14ac:dyDescent="0.2">
      <c r="A53" s="68"/>
      <c r="B53" s="69"/>
      <c r="C53" s="69"/>
      <c r="D53" s="69"/>
      <c r="E53" s="119"/>
      <c r="F53" s="69"/>
      <c r="G53" s="64"/>
    </row>
    <row r="55" spans="1:7" x14ac:dyDescent="0.2">
      <c r="A55" s="6"/>
    </row>
    <row r="62" spans="1:7" x14ac:dyDescent="0.2">
      <c r="A62" s="6"/>
    </row>
  </sheetData>
  <sheetProtection password="A2E8" sheet="1" objects="1" scenarios="1" formatCells="0"/>
  <customSheetViews>
    <customSheetView guid="{82F232E5-57E6-2D41-958D-D8709BEC5D76}" topLeftCell="A24">
      <selection activeCell="C36" sqref="C36"/>
      <pageMargins left="0.7" right="0.7" top="0.75" bottom="0.75" header="0.3" footer="0.3"/>
      <pageSetup orientation="portrait"/>
    </customSheetView>
  </customSheetViews>
  <phoneticPr fontId="3" type="noConversion"/>
  <printOptions horizontalCentered="1" verticalCentered="1"/>
  <pageMargins left="0.25" right="0.25" top="1" bottom="1" header="0.5" footer="0.5"/>
  <pageSetup fitToHeight="2" orientation="landscape"/>
  <headerFooter>
    <oddHeader xml:space="preserve">&amp;L&amp;K000000_x000D_&amp;C&amp;K000000Gobas, F. A. P. C. Otton, S. V., Tupper-Ring, L. F., Crawford, M.A. 2015. Thermodynamic Activity Calculator for Solid and Liquid Hydrophobic Organic Chemicals in Environmental Media: Excel Model Version 1.1. </oddHeader>
    <oddFooter>&amp;L&amp;K000000&amp;F&amp;C&amp;K000000&amp;P of &amp;N&amp;R&amp;K000000&amp;A</oddFooter>
  </headerFooter>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39997558519241921"/>
    <pageSetUpPr fitToPage="1"/>
  </sheetPr>
  <dimension ref="A1:L27"/>
  <sheetViews>
    <sheetView workbookViewId="0">
      <selection activeCell="C8" sqref="C8"/>
    </sheetView>
  </sheetViews>
  <sheetFormatPr baseColWidth="10" defaultColWidth="8.83203125" defaultRowHeight="14" x14ac:dyDescent="0.2"/>
  <cols>
    <col min="1" max="1" width="42.6640625" style="10" bestFit="1" customWidth="1"/>
    <col min="2" max="2" width="16.33203125" style="10" bestFit="1" customWidth="1"/>
    <col min="3" max="3" width="6" style="10" bestFit="1" customWidth="1"/>
    <col min="4" max="4" width="7.6640625" style="76" bestFit="1" customWidth="1"/>
    <col min="5" max="5" width="12.5" style="76" bestFit="1" customWidth="1"/>
    <col min="6" max="6" width="4.1640625" style="10" hidden="1" customWidth="1"/>
    <col min="7" max="7" width="12.1640625" style="50" hidden="1" customWidth="1"/>
    <col min="8" max="8" width="9.1640625" style="10" customWidth="1"/>
    <col min="10" max="10" width="9.1640625" style="10" customWidth="1"/>
  </cols>
  <sheetData>
    <row r="1" spans="1:12" ht="16" x14ac:dyDescent="0.2">
      <c r="A1" s="6" t="s">
        <v>221</v>
      </c>
      <c r="B1" s="4"/>
      <c r="C1" s="4"/>
      <c r="D1" s="73"/>
      <c r="E1" s="73"/>
      <c r="F1" s="4"/>
      <c r="G1" s="13"/>
      <c r="H1" s="4"/>
      <c r="J1" s="4"/>
      <c r="K1" s="9"/>
      <c r="L1" s="9"/>
    </row>
    <row r="2" spans="1:12" ht="17" thickBot="1" x14ac:dyDescent="0.25">
      <c r="A2" s="4"/>
      <c r="B2" s="4"/>
      <c r="C2" s="4"/>
      <c r="D2" s="73"/>
      <c r="E2" s="73"/>
      <c r="F2" s="4"/>
      <c r="G2" s="13"/>
      <c r="H2" s="4"/>
      <c r="J2" s="4"/>
      <c r="K2" s="9"/>
      <c r="L2" s="9"/>
    </row>
    <row r="3" spans="1:12" ht="16" x14ac:dyDescent="0.2">
      <c r="A3" s="43" t="s">
        <v>52</v>
      </c>
      <c r="B3" s="51" t="s">
        <v>10</v>
      </c>
      <c r="C3" s="51" t="s">
        <v>162</v>
      </c>
      <c r="D3" s="72" t="s">
        <v>155</v>
      </c>
      <c r="E3" s="121" t="s">
        <v>19</v>
      </c>
      <c r="F3" s="31"/>
      <c r="G3" s="49" t="s">
        <v>154</v>
      </c>
      <c r="H3" s="4"/>
      <c r="J3" s="4"/>
      <c r="K3" s="9"/>
      <c r="L3" s="9"/>
    </row>
    <row r="4" spans="1:12" ht="16" x14ac:dyDescent="0.2">
      <c r="A4" s="36"/>
      <c r="B4" s="2"/>
      <c r="C4" s="2"/>
      <c r="D4" s="74"/>
      <c r="E4" s="118"/>
      <c r="F4" s="4"/>
      <c r="G4" s="13"/>
      <c r="H4" s="4"/>
      <c r="J4" s="4"/>
      <c r="K4" s="9"/>
      <c r="L4" s="9"/>
    </row>
    <row r="5" spans="1:12" ht="16" x14ac:dyDescent="0.2">
      <c r="A5" s="36" t="s">
        <v>159</v>
      </c>
      <c r="B5" s="52" t="s">
        <v>156</v>
      </c>
      <c r="C5" s="106">
        <f t="shared" ref="C5:C8" si="0">E5</f>
        <v>1</v>
      </c>
      <c r="D5" s="74" t="s">
        <v>62</v>
      </c>
      <c r="E5" s="150">
        <v>1</v>
      </c>
      <c r="F5" s="4"/>
      <c r="G5" s="13" t="s">
        <v>32</v>
      </c>
      <c r="H5" s="4"/>
      <c r="J5" s="4"/>
      <c r="K5" s="9"/>
      <c r="L5" s="9"/>
    </row>
    <row r="6" spans="1:12" ht="16" x14ac:dyDescent="0.2">
      <c r="A6" s="36" t="s">
        <v>160</v>
      </c>
      <c r="B6" s="52" t="s">
        <v>156</v>
      </c>
      <c r="C6" s="106">
        <f t="shared" si="0"/>
        <v>0.9</v>
      </c>
      <c r="D6" s="74" t="s">
        <v>33</v>
      </c>
      <c r="E6" s="150">
        <v>0.9</v>
      </c>
      <c r="F6" s="4"/>
      <c r="G6" s="13" t="s">
        <v>53</v>
      </c>
      <c r="H6" s="4"/>
      <c r="J6" s="4"/>
      <c r="K6" s="9"/>
      <c r="L6" s="9"/>
    </row>
    <row r="7" spans="1:12" ht="16" x14ac:dyDescent="0.2">
      <c r="A7" s="36" t="s">
        <v>157</v>
      </c>
      <c r="B7" s="52" t="s">
        <v>156</v>
      </c>
      <c r="C7" s="106">
        <v>1</v>
      </c>
      <c r="D7" s="74" t="s">
        <v>33</v>
      </c>
      <c r="E7" s="150">
        <v>1</v>
      </c>
      <c r="F7" s="4"/>
      <c r="G7" s="13" t="s">
        <v>54</v>
      </c>
      <c r="H7" s="4"/>
      <c r="J7" s="4"/>
      <c r="K7" s="9"/>
      <c r="L7" s="9"/>
    </row>
    <row r="8" spans="1:12" ht="16" x14ac:dyDescent="0.2">
      <c r="A8" s="36" t="s">
        <v>158</v>
      </c>
      <c r="B8" s="52" t="s">
        <v>156</v>
      </c>
      <c r="C8" s="106">
        <f t="shared" si="0"/>
        <v>0.9</v>
      </c>
      <c r="D8" s="74" t="s">
        <v>33</v>
      </c>
      <c r="E8" s="150">
        <v>0.9</v>
      </c>
      <c r="F8" s="4"/>
      <c r="G8" s="13" t="s">
        <v>55</v>
      </c>
      <c r="H8" s="4"/>
      <c r="J8" s="4"/>
      <c r="K8" s="9"/>
      <c r="L8" s="9"/>
    </row>
    <row r="9" spans="1:12" ht="16" x14ac:dyDescent="0.2">
      <c r="A9" s="36" t="s">
        <v>161</v>
      </c>
      <c r="B9" s="52" t="s">
        <v>156</v>
      </c>
      <c r="C9" s="106">
        <v>1.2</v>
      </c>
      <c r="D9" s="74" t="s">
        <v>33</v>
      </c>
      <c r="E9" s="150">
        <v>1.5</v>
      </c>
      <c r="F9" s="4"/>
      <c r="G9" s="13" t="s">
        <v>47</v>
      </c>
      <c r="H9" s="4"/>
      <c r="J9" s="4"/>
      <c r="K9" s="9"/>
      <c r="L9" s="9"/>
    </row>
    <row r="10" spans="1:12" ht="16" x14ac:dyDescent="0.2">
      <c r="A10" s="36"/>
      <c r="B10" s="52"/>
      <c r="C10" s="106"/>
      <c r="D10" s="74"/>
      <c r="E10" s="118"/>
      <c r="F10" s="4"/>
      <c r="G10" s="13"/>
      <c r="H10" s="4"/>
      <c r="J10" s="4"/>
      <c r="K10" s="9"/>
      <c r="L10" s="9"/>
    </row>
    <row r="11" spans="1:12" ht="17" thickBot="1" x14ac:dyDescent="0.25">
      <c r="A11" s="53" t="s">
        <v>220</v>
      </c>
      <c r="B11" s="54" t="s">
        <v>156</v>
      </c>
      <c r="C11" s="107">
        <v>0</v>
      </c>
      <c r="D11" s="75" t="s">
        <v>64</v>
      </c>
      <c r="E11" s="124">
        <v>0</v>
      </c>
      <c r="F11" s="4"/>
      <c r="G11" s="13" t="s">
        <v>174</v>
      </c>
      <c r="H11" s="4"/>
      <c r="J11" s="4"/>
      <c r="K11" s="9"/>
      <c r="L11" s="9"/>
    </row>
    <row r="12" spans="1:12" ht="16" x14ac:dyDescent="0.2">
      <c r="A12" s="4"/>
      <c r="B12" s="4"/>
      <c r="C12" s="4"/>
      <c r="D12" s="73"/>
      <c r="E12" s="73"/>
      <c r="F12" s="4"/>
      <c r="G12" s="13"/>
      <c r="H12" s="4"/>
      <c r="J12" s="4"/>
      <c r="K12" s="9"/>
      <c r="L12" s="9"/>
    </row>
    <row r="13" spans="1:12" ht="16" x14ac:dyDescent="0.2">
      <c r="A13" s="4"/>
      <c r="B13" s="4"/>
      <c r="C13" s="4"/>
      <c r="D13" s="73"/>
      <c r="E13" s="73"/>
      <c r="F13" s="4"/>
      <c r="G13" s="13"/>
      <c r="H13" s="4"/>
      <c r="J13" s="4"/>
      <c r="K13" s="9"/>
      <c r="L13" s="9"/>
    </row>
    <row r="14" spans="1:12" ht="16" x14ac:dyDescent="0.2">
      <c r="A14" s="4"/>
      <c r="B14" s="4"/>
      <c r="C14" s="4"/>
      <c r="D14" s="73"/>
      <c r="E14" s="73"/>
      <c r="F14" s="4"/>
      <c r="G14" s="13"/>
      <c r="H14" s="4"/>
      <c r="J14" s="4"/>
      <c r="K14" s="9"/>
      <c r="L14" s="9"/>
    </row>
    <row r="15" spans="1:12" ht="16" x14ac:dyDescent="0.2">
      <c r="A15" s="4"/>
      <c r="B15" s="4"/>
      <c r="C15" s="4"/>
      <c r="D15" s="73"/>
      <c r="E15" s="73"/>
      <c r="F15" s="4"/>
      <c r="G15" s="13"/>
      <c r="H15" s="4"/>
      <c r="J15" s="4"/>
      <c r="K15" s="9"/>
      <c r="L15" s="9"/>
    </row>
    <row r="16" spans="1:12" ht="16" x14ac:dyDescent="0.2">
      <c r="A16" s="4"/>
      <c r="B16" s="4"/>
      <c r="C16" s="4"/>
      <c r="D16" s="73"/>
      <c r="E16" s="73"/>
      <c r="F16" s="4"/>
      <c r="G16" s="13"/>
      <c r="H16" s="4"/>
      <c r="J16" s="4"/>
      <c r="K16" s="9"/>
      <c r="L16" s="9"/>
    </row>
    <row r="17" spans="1:12" ht="16" x14ac:dyDescent="0.2">
      <c r="A17" s="4"/>
      <c r="B17" s="4"/>
      <c r="C17" s="4"/>
      <c r="D17" s="73"/>
      <c r="E17" s="73"/>
      <c r="F17" s="4"/>
      <c r="G17" s="13"/>
      <c r="H17" s="4"/>
      <c r="J17" s="4"/>
      <c r="K17" s="9"/>
      <c r="L17" s="9"/>
    </row>
    <row r="18" spans="1:12" ht="16" x14ac:dyDescent="0.2">
      <c r="A18" s="4"/>
      <c r="B18" s="4"/>
      <c r="C18" s="4"/>
      <c r="D18" s="73"/>
      <c r="E18" s="73"/>
      <c r="F18" s="4"/>
      <c r="G18" s="13"/>
      <c r="H18" s="4"/>
      <c r="J18" s="4"/>
      <c r="K18" s="9"/>
      <c r="L18" s="9"/>
    </row>
    <row r="19" spans="1:12" ht="16" x14ac:dyDescent="0.2">
      <c r="A19" s="4"/>
      <c r="B19" s="4"/>
      <c r="C19" s="4"/>
      <c r="D19" s="73"/>
      <c r="E19" s="73"/>
      <c r="F19" s="4"/>
      <c r="G19" s="13"/>
      <c r="H19" s="4"/>
      <c r="J19" s="4"/>
      <c r="K19" s="9"/>
      <c r="L19" s="9"/>
    </row>
    <row r="20" spans="1:12" ht="16" x14ac:dyDescent="0.2">
      <c r="A20" s="4"/>
      <c r="B20" s="4"/>
      <c r="C20" s="4"/>
      <c r="D20" s="73"/>
      <c r="E20" s="73"/>
      <c r="F20" s="4"/>
      <c r="G20" s="13"/>
      <c r="H20" s="4"/>
      <c r="J20" s="4"/>
      <c r="K20" s="9"/>
      <c r="L20" s="9"/>
    </row>
    <row r="21" spans="1:12" ht="16" x14ac:dyDescent="0.2">
      <c r="A21" s="4"/>
      <c r="B21" s="4"/>
      <c r="C21" s="4"/>
      <c r="D21" s="73"/>
      <c r="E21" s="73"/>
      <c r="F21" s="4"/>
      <c r="G21" s="13"/>
      <c r="H21" s="4"/>
      <c r="J21" s="4"/>
      <c r="K21" s="9"/>
      <c r="L21" s="9"/>
    </row>
    <row r="22" spans="1:12" ht="16" x14ac:dyDescent="0.2">
      <c r="A22" s="4"/>
      <c r="B22" s="4"/>
      <c r="C22" s="4"/>
      <c r="D22" s="73"/>
      <c r="E22" s="73"/>
      <c r="F22" s="4"/>
      <c r="G22" s="13"/>
      <c r="H22" s="4"/>
      <c r="J22" s="4"/>
      <c r="K22" s="9"/>
      <c r="L22" s="9"/>
    </row>
    <row r="23" spans="1:12" ht="16" x14ac:dyDescent="0.2">
      <c r="A23" s="4"/>
      <c r="B23" s="4"/>
      <c r="C23" s="4"/>
      <c r="D23" s="73"/>
      <c r="E23" s="73"/>
      <c r="F23" s="4"/>
      <c r="G23" s="13"/>
      <c r="H23" s="4"/>
      <c r="J23" s="4"/>
      <c r="K23" s="9"/>
      <c r="L23" s="9"/>
    </row>
    <row r="24" spans="1:12" ht="16" x14ac:dyDescent="0.2">
      <c r="A24" s="4"/>
      <c r="B24" s="4"/>
      <c r="C24" s="4"/>
      <c r="D24" s="73"/>
      <c r="E24" s="73"/>
      <c r="F24" s="4"/>
      <c r="G24" s="13"/>
      <c r="H24" s="4"/>
      <c r="J24" s="4"/>
      <c r="K24" s="9"/>
      <c r="L24" s="9"/>
    </row>
    <row r="25" spans="1:12" ht="16" x14ac:dyDescent="0.2">
      <c r="A25" s="4"/>
      <c r="B25" s="4"/>
      <c r="C25" s="4"/>
      <c r="D25" s="73"/>
      <c r="E25" s="73"/>
      <c r="F25" s="4"/>
      <c r="G25" s="13"/>
      <c r="H25" s="4"/>
      <c r="J25" s="4"/>
      <c r="K25" s="9"/>
      <c r="L25" s="9"/>
    </row>
    <row r="26" spans="1:12" ht="16" x14ac:dyDescent="0.2">
      <c r="A26" s="4"/>
      <c r="B26" s="4"/>
      <c r="C26" s="4"/>
      <c r="D26" s="73"/>
      <c r="E26" s="73"/>
      <c r="F26" s="4"/>
      <c r="G26" s="13"/>
      <c r="H26" s="4"/>
      <c r="J26" s="4"/>
      <c r="K26" s="9"/>
      <c r="L26" s="9"/>
    </row>
    <row r="27" spans="1:12" ht="16" x14ac:dyDescent="0.2">
      <c r="H27" s="4"/>
      <c r="J27" s="4"/>
      <c r="K27" s="9"/>
      <c r="L27" s="9"/>
    </row>
  </sheetData>
  <sheetProtection password="A2E8" sheet="1" objects="1" scenarios="1" formatCells="0"/>
  <customSheetViews>
    <customSheetView guid="{82F232E5-57E6-2D41-958D-D8709BEC5D76}">
      <pageMargins left="0.7" right="0.7" top="0.75" bottom="0.75" header="0.3" footer="0.3"/>
    </customSheetView>
  </customSheetViews>
  <phoneticPr fontId="3" type="noConversion"/>
  <printOptions horizontalCentered="1" verticalCentered="1"/>
  <pageMargins left="0.75" right="0.75" top="1" bottom="1" header="0.5" footer="0.5"/>
  <pageSetup orientation="landscape" horizontalDpi="4294967292" verticalDpi="4294967292"/>
  <headerFooter>
    <oddHeader xml:space="preserve">&amp;CGobas, F. A. P. C. Otton, S. V., Tupper-Ring, L. F., Crawford, M.A. 2015. Thermodynamic Activity Calculator for Solid and Liquid Hydrophobic Organic Chemicals in Environmental Media: Excel Model Version 1.1. </oddHeader>
    <oddFooter>&amp;L&amp;K000000&amp;F&amp;C&amp;K000000&amp;P of &amp;N&amp;R&amp;K000000&amp;A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J21"/>
  <sheetViews>
    <sheetView workbookViewId="0">
      <selection activeCell="C21" sqref="C21"/>
    </sheetView>
  </sheetViews>
  <sheetFormatPr baseColWidth="10" defaultColWidth="8.83203125" defaultRowHeight="16" x14ac:dyDescent="0.2"/>
  <cols>
    <col min="1" max="1" width="56.5" style="9" customWidth="1"/>
    <col min="2" max="2" width="13.33203125" style="9" bestFit="1" customWidth="1"/>
    <col min="3" max="3" width="13.6640625" style="9" bestFit="1" customWidth="1"/>
    <col min="4" max="4" width="17.5" style="9" bestFit="1" customWidth="1"/>
    <col min="5" max="5" width="14.33203125" style="78" bestFit="1" customWidth="1"/>
    <col min="6" max="6" width="5.33203125" style="17" hidden="1" customWidth="1"/>
    <col min="7" max="7" width="11" style="19" hidden="1" customWidth="1"/>
    <col min="8" max="8" width="11" style="19" customWidth="1"/>
    <col min="9" max="9" width="9.1640625" style="9" customWidth="1"/>
  </cols>
  <sheetData>
    <row r="1" spans="1:10" x14ac:dyDescent="0.2">
      <c r="A1" s="6" t="s">
        <v>92</v>
      </c>
      <c r="B1" s="4" t="s">
        <v>219</v>
      </c>
      <c r="C1" s="4"/>
      <c r="D1" s="4"/>
      <c r="E1" s="73"/>
      <c r="F1" s="14"/>
    </row>
    <row r="2" spans="1:10" ht="17" thickBot="1" x14ac:dyDescent="0.25">
      <c r="A2" s="4"/>
      <c r="B2" s="4"/>
      <c r="C2" s="4"/>
      <c r="D2" s="4"/>
      <c r="E2" s="73"/>
      <c r="F2" s="14"/>
    </row>
    <row r="3" spans="1:10" x14ac:dyDescent="0.2">
      <c r="A3" s="43" t="s">
        <v>217</v>
      </c>
      <c r="B3" s="44" t="s">
        <v>10</v>
      </c>
      <c r="C3" s="44" t="s">
        <v>2</v>
      </c>
      <c r="D3" s="44" t="s">
        <v>1</v>
      </c>
      <c r="E3" s="117" t="s">
        <v>19</v>
      </c>
      <c r="F3" s="32"/>
      <c r="G3" s="46" t="s">
        <v>9</v>
      </c>
      <c r="H3" s="46"/>
      <c r="J3" s="4"/>
    </row>
    <row r="4" spans="1:10" x14ac:dyDescent="0.2">
      <c r="A4" s="36"/>
      <c r="B4" s="2"/>
      <c r="C4" s="2"/>
      <c r="D4" s="2"/>
      <c r="E4" s="118"/>
      <c r="F4" s="14"/>
    </row>
    <row r="5" spans="1:10" x14ac:dyDescent="0.2">
      <c r="A5" s="36" t="s">
        <v>99</v>
      </c>
      <c r="B5" s="37" t="s">
        <v>231</v>
      </c>
      <c r="C5" s="104">
        <v>9.9999999999999995E-8</v>
      </c>
      <c r="D5" s="110" t="s">
        <v>64</v>
      </c>
      <c r="E5" s="151" t="s">
        <v>216</v>
      </c>
      <c r="F5" s="14"/>
      <c r="G5" s="13" t="s">
        <v>93</v>
      </c>
      <c r="H5" s="13"/>
    </row>
    <row r="6" spans="1:10" x14ac:dyDescent="0.2">
      <c r="A6" s="36" t="s">
        <v>35</v>
      </c>
      <c r="B6" s="37" t="s">
        <v>231</v>
      </c>
      <c r="C6" s="105">
        <v>5.0000000000000002E-11</v>
      </c>
      <c r="D6" s="110" t="s">
        <v>33</v>
      </c>
      <c r="E6" s="152">
        <v>5.0000000000000002E-11</v>
      </c>
      <c r="F6" s="14"/>
      <c r="G6" s="13" t="s">
        <v>94</v>
      </c>
      <c r="H6" s="13"/>
    </row>
    <row r="7" spans="1:10" x14ac:dyDescent="0.2">
      <c r="A7" s="36" t="s">
        <v>37</v>
      </c>
      <c r="B7" s="37" t="s">
        <v>231</v>
      </c>
      <c r="C7" s="104">
        <v>0.1</v>
      </c>
      <c r="D7" s="110" t="s">
        <v>82</v>
      </c>
      <c r="E7" s="151">
        <v>0.1</v>
      </c>
      <c r="F7" s="14"/>
      <c r="G7" s="13" t="s">
        <v>95</v>
      </c>
      <c r="H7" s="13"/>
    </row>
    <row r="8" spans="1:10" ht="17" thickBot="1" x14ac:dyDescent="0.25">
      <c r="A8" s="53" t="s">
        <v>104</v>
      </c>
      <c r="B8" s="55" t="s">
        <v>231</v>
      </c>
      <c r="C8" s="103">
        <v>0.01</v>
      </c>
      <c r="D8" s="75" t="s">
        <v>70</v>
      </c>
      <c r="E8" s="124">
        <v>0</v>
      </c>
      <c r="F8" s="14"/>
      <c r="G8" s="13" t="s">
        <v>98</v>
      </c>
      <c r="H8" s="13"/>
    </row>
    <row r="9" spans="1:10" x14ac:dyDescent="0.2">
      <c r="A9" s="84"/>
      <c r="B9" s="84"/>
      <c r="C9" s="84"/>
      <c r="D9" s="84"/>
      <c r="E9" s="85"/>
      <c r="F9" s="14"/>
      <c r="G9" s="13"/>
      <c r="H9" s="13"/>
    </row>
    <row r="10" spans="1:10" s="20" customFormat="1" x14ac:dyDescent="0.2">
      <c r="A10" s="79" t="s">
        <v>69</v>
      </c>
      <c r="B10" s="80" t="s">
        <v>18</v>
      </c>
      <c r="C10" s="80">
        <f>Cpa/dparticle</f>
        <v>4.1666666666666671E-11</v>
      </c>
      <c r="D10" s="80" t="s">
        <v>70</v>
      </c>
      <c r="E10" s="80" t="s">
        <v>89</v>
      </c>
      <c r="F10" s="18"/>
      <c r="G10" s="13" t="s">
        <v>96</v>
      </c>
      <c r="H10" s="13"/>
      <c r="I10" s="19"/>
    </row>
    <row r="11" spans="1:10" s="20" customFormat="1" x14ac:dyDescent="0.2">
      <c r="A11" s="79" t="s">
        <v>76</v>
      </c>
      <c r="B11" s="80" t="s">
        <v>18</v>
      </c>
      <c r="C11" s="80">
        <f>CWA</f>
        <v>0.01</v>
      </c>
      <c r="D11" s="80" t="s">
        <v>70</v>
      </c>
      <c r="E11" s="80" t="s">
        <v>89</v>
      </c>
      <c r="F11" s="18"/>
      <c r="G11" s="13" t="s">
        <v>97</v>
      </c>
      <c r="H11" s="13"/>
      <c r="I11" s="19"/>
    </row>
    <row r="12" spans="1:10" s="20" customFormat="1" x14ac:dyDescent="0.2">
      <c r="A12" s="79" t="s">
        <v>100</v>
      </c>
      <c r="B12" s="154" t="s">
        <v>18</v>
      </c>
      <c r="C12" s="80">
        <f>1-VFPA-VFWA</f>
        <v>0.98999999995833332</v>
      </c>
      <c r="D12" s="80" t="s">
        <v>70</v>
      </c>
      <c r="E12" s="80" t="s">
        <v>89</v>
      </c>
      <c r="F12" s="18"/>
      <c r="G12" s="13" t="s">
        <v>101</v>
      </c>
      <c r="H12" s="13"/>
      <c r="I12" s="19"/>
    </row>
    <row r="13" spans="1:10" s="20" customFormat="1" x14ac:dyDescent="0.2">
      <c r="A13" s="79"/>
      <c r="B13" s="80" t="s">
        <v>7</v>
      </c>
      <c r="C13" s="80"/>
      <c r="D13" s="80"/>
      <c r="E13" s="80" t="s">
        <v>7</v>
      </c>
      <c r="F13" s="18"/>
      <c r="G13" s="13"/>
      <c r="H13" s="13"/>
      <c r="I13" s="19"/>
    </row>
    <row r="14" spans="1:10" s="20" customFormat="1" x14ac:dyDescent="0.2">
      <c r="A14" s="79" t="s">
        <v>255</v>
      </c>
      <c r="B14" s="80" t="s">
        <v>18</v>
      </c>
      <c r="C14" s="80">
        <f>Sgas*(VFAA+Ocpa*(Soc/Sgas)*dparticle*VFPA+(Sw/Sgas)*VFWA)</f>
        <v>3.5789024508846718E-4</v>
      </c>
      <c r="D14" s="80" t="s">
        <v>64</v>
      </c>
      <c r="E14" s="80" t="s">
        <v>89</v>
      </c>
      <c r="F14" s="18"/>
      <c r="G14" s="13" t="s">
        <v>102</v>
      </c>
      <c r="H14" s="13"/>
      <c r="I14" s="19"/>
    </row>
    <row r="15" spans="1:10" s="20" customFormat="1" x14ac:dyDescent="0.2">
      <c r="A15" s="79" t="s">
        <v>263</v>
      </c>
      <c r="B15" s="80" t="s">
        <v>18</v>
      </c>
      <c r="C15" s="80">
        <f>SgasT*(VFAA+Ocpa*(SocT/SgasT)*dparticle*VFPA+(SwT/SgasT)*VFWA)</f>
        <v>3.1175214185021061E-4</v>
      </c>
      <c r="D15" s="80" t="s">
        <v>64</v>
      </c>
      <c r="E15" s="80" t="s">
        <v>89</v>
      </c>
      <c r="F15" s="18"/>
      <c r="G15" s="13" t="s">
        <v>147</v>
      </c>
      <c r="H15" s="13"/>
      <c r="I15" s="19"/>
    </row>
    <row r="16" spans="1:10" ht="17" thickBot="1" x14ac:dyDescent="0.25">
      <c r="A16" s="94"/>
      <c r="B16" s="95"/>
      <c r="C16" s="95"/>
      <c r="D16" s="95"/>
      <c r="E16" s="85" t="s">
        <v>7</v>
      </c>
      <c r="F16" s="14"/>
    </row>
    <row r="17" spans="1:10" s="11" customFormat="1" ht="17" thickBot="1" x14ac:dyDescent="0.25">
      <c r="A17" s="86" t="s">
        <v>148</v>
      </c>
      <c r="B17" s="87" t="s">
        <v>18</v>
      </c>
      <c r="C17" s="88">
        <f>F*ConcAir/SolAirT</f>
        <v>1.5794006545785606E-5</v>
      </c>
      <c r="D17" s="89" t="s">
        <v>61</v>
      </c>
      <c r="E17" s="90" t="s">
        <v>89</v>
      </c>
      <c r="F17" s="30"/>
      <c r="G17" s="28" t="s">
        <v>150</v>
      </c>
      <c r="H17" s="28"/>
      <c r="I17" s="8"/>
      <c r="J17" s="8"/>
    </row>
    <row r="18" spans="1:10" s="11" customFormat="1" x14ac:dyDescent="0.2">
      <c r="A18" s="101"/>
      <c r="B18" s="155"/>
      <c r="C18" s="93"/>
      <c r="D18" s="93"/>
      <c r="E18" s="155" t="s">
        <v>7</v>
      </c>
      <c r="F18" s="30"/>
      <c r="G18" s="28"/>
      <c r="H18" s="28"/>
      <c r="I18" s="8"/>
      <c r="J18" s="8"/>
    </row>
    <row r="19" spans="1:10" s="11" customFormat="1" x14ac:dyDescent="0.2">
      <c r="A19" s="101" t="s">
        <v>149</v>
      </c>
      <c r="B19" s="155" t="s">
        <v>18</v>
      </c>
      <c r="C19" s="155">
        <f>ConcAir/FugAir</f>
        <v>8.3281670206416566E-2</v>
      </c>
      <c r="D19" s="155" t="s">
        <v>85</v>
      </c>
      <c r="E19" s="155" t="s">
        <v>89</v>
      </c>
      <c r="F19" s="30"/>
      <c r="G19" s="28" t="s">
        <v>151</v>
      </c>
      <c r="H19" s="28"/>
      <c r="I19" s="8"/>
      <c r="J19" s="8"/>
    </row>
    <row r="20" spans="1:10" s="11" customFormat="1" ht="17" thickBot="1" x14ac:dyDescent="0.25">
      <c r="A20" s="156"/>
      <c r="B20" s="157"/>
      <c r="C20" s="158"/>
      <c r="D20" s="158"/>
      <c r="E20" s="155" t="s">
        <v>7</v>
      </c>
      <c r="F20" s="30"/>
      <c r="G20" s="29"/>
      <c r="H20" s="29"/>
      <c r="I20" s="12"/>
    </row>
    <row r="21" spans="1:10" s="11" customFormat="1" ht="17" thickBot="1" x14ac:dyDescent="0.25">
      <c r="A21" s="97" t="s">
        <v>152</v>
      </c>
      <c r="B21" s="87" t="s">
        <v>18</v>
      </c>
      <c r="C21" s="98">
        <f>ActivityAir*(VPT/F)</f>
        <v>1.20074441053051E-6</v>
      </c>
      <c r="D21" s="89" t="s">
        <v>4</v>
      </c>
      <c r="E21" s="90" t="s">
        <v>89</v>
      </c>
      <c r="F21" s="30"/>
      <c r="G21" s="28" t="s">
        <v>153</v>
      </c>
      <c r="H21" s="28"/>
      <c r="I21" s="8"/>
      <c r="J21" s="8"/>
    </row>
  </sheetData>
  <sheetProtection password="A2E8" sheet="1" objects="1" scenarios="1" formatCells="0"/>
  <customSheetViews>
    <customSheetView guid="{82F232E5-57E6-2D41-958D-D8709BEC5D76}">
      <selection activeCell="D38" sqref="D38"/>
      <pageMargins left="0.7" right="0.7" top="0.75" bottom="0.75" header="0.3" footer="0.3"/>
    </customSheetView>
  </customSheetViews>
  <phoneticPr fontId="3" type="noConversion"/>
  <pageMargins left="0.75" right="0.75" top="1" bottom="1" header="0.5" footer="0.5"/>
  <pageSetup scale="98" orientation="landscape" horizontalDpi="4294967292" verticalDpi="4294967292"/>
  <headerFooter>
    <oddHeader xml:space="preserve">&amp;C&amp;K01+000Gobas, F. A. P. C. Otton, S. V., Tupper-Ring, L. F., Crawford, M.A. 2015. Thermodynamic Activity Calculator for Solid and Liquid Hydrophobic Organic Chemicals in Environmental Media: Excel Model Version 1.1. </oddHeader>
    <oddFooter>&amp;L&amp;K000000&amp;F&amp;C&amp;K000000&amp;P of &amp;N&amp;R&amp;K000000&amp;A</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G35"/>
  <sheetViews>
    <sheetView workbookViewId="0">
      <selection activeCell="C5" sqref="C5"/>
    </sheetView>
  </sheetViews>
  <sheetFormatPr baseColWidth="10" defaultColWidth="8.83203125" defaultRowHeight="16" x14ac:dyDescent="0.2"/>
  <cols>
    <col min="1" max="1" width="60.6640625" style="9" customWidth="1"/>
    <col min="2" max="2" width="16.6640625" style="9" bestFit="1" customWidth="1"/>
    <col min="3" max="3" width="12.1640625" style="9" bestFit="1" customWidth="1"/>
    <col min="4" max="4" width="15.1640625" style="9" bestFit="1" customWidth="1"/>
    <col min="5" max="5" width="12.5" style="9" bestFit="1" customWidth="1"/>
    <col min="6" max="6" width="5.5" style="9" hidden="1" customWidth="1"/>
    <col min="7" max="7" width="11" style="19" hidden="1" customWidth="1"/>
  </cols>
  <sheetData>
    <row r="1" spans="1:7" x14ac:dyDescent="0.2">
      <c r="A1" s="6" t="s">
        <v>31</v>
      </c>
      <c r="B1" s="4" t="s">
        <v>218</v>
      </c>
      <c r="C1" s="4"/>
      <c r="D1" s="4"/>
      <c r="E1" s="4"/>
      <c r="F1" s="4"/>
      <c r="G1" s="13"/>
    </row>
    <row r="2" spans="1:7" ht="17" thickBot="1" x14ac:dyDescent="0.25">
      <c r="A2" s="6"/>
      <c r="B2" s="4"/>
      <c r="C2" s="4"/>
      <c r="D2" s="4"/>
      <c r="E2" s="4"/>
      <c r="F2" s="4"/>
      <c r="G2" s="13"/>
    </row>
    <row r="3" spans="1:7" x14ac:dyDescent="0.2">
      <c r="A3" s="43" t="s">
        <v>217</v>
      </c>
      <c r="B3" s="44" t="s">
        <v>10</v>
      </c>
      <c r="C3" s="44" t="s">
        <v>2</v>
      </c>
      <c r="D3" s="44" t="s">
        <v>1</v>
      </c>
      <c r="E3" s="45" t="s">
        <v>19</v>
      </c>
      <c r="F3" s="27"/>
      <c r="G3" s="46" t="s">
        <v>9</v>
      </c>
    </row>
    <row r="4" spans="1:7" x14ac:dyDescent="0.2">
      <c r="A4" s="56"/>
      <c r="B4" s="2"/>
      <c r="C4" s="2"/>
      <c r="D4" s="2"/>
      <c r="E4" s="57"/>
      <c r="F4" s="5"/>
      <c r="G4" s="13"/>
    </row>
    <row r="5" spans="1:7" x14ac:dyDescent="0.2">
      <c r="A5" s="36" t="s">
        <v>179</v>
      </c>
      <c r="B5" s="37" t="s">
        <v>231</v>
      </c>
      <c r="C5" s="102">
        <v>5.0000000000000004E-6</v>
      </c>
      <c r="D5" s="74" t="s">
        <v>83</v>
      </c>
      <c r="E5" s="118" t="s">
        <v>216</v>
      </c>
      <c r="F5" s="14"/>
      <c r="G5" s="13" t="s">
        <v>180</v>
      </c>
    </row>
    <row r="6" spans="1:7" x14ac:dyDescent="0.2">
      <c r="A6" s="36" t="s">
        <v>35</v>
      </c>
      <c r="B6" s="37" t="s">
        <v>231</v>
      </c>
      <c r="C6" s="102">
        <v>9.9999999999999995E-7</v>
      </c>
      <c r="D6" s="74" t="s">
        <v>33</v>
      </c>
      <c r="E6" s="153">
        <v>9.9999999999999995E-7</v>
      </c>
      <c r="F6" s="15"/>
      <c r="G6" s="13" t="s">
        <v>36</v>
      </c>
    </row>
    <row r="7" spans="1:7" x14ac:dyDescent="0.2">
      <c r="A7" s="36" t="s">
        <v>37</v>
      </c>
      <c r="B7" s="37" t="s">
        <v>231</v>
      </c>
      <c r="C7" s="102">
        <v>0.01</v>
      </c>
      <c r="D7" s="74" t="s">
        <v>82</v>
      </c>
      <c r="E7" s="118">
        <v>0.01</v>
      </c>
      <c r="F7" s="14"/>
      <c r="G7" s="13" t="s">
        <v>38</v>
      </c>
    </row>
    <row r="8" spans="1:7" x14ac:dyDescent="0.2">
      <c r="A8" s="36" t="s">
        <v>40</v>
      </c>
      <c r="B8" s="37" t="s">
        <v>231</v>
      </c>
      <c r="C8" s="102">
        <v>0</v>
      </c>
      <c r="D8" s="74" t="s">
        <v>66</v>
      </c>
      <c r="E8" s="118">
        <v>0</v>
      </c>
      <c r="F8" s="14"/>
      <c r="G8" s="13" t="s">
        <v>67</v>
      </c>
    </row>
    <row r="9" spans="1:7" x14ac:dyDescent="0.2">
      <c r="A9" s="36" t="s">
        <v>39</v>
      </c>
      <c r="B9" s="37" t="s">
        <v>231</v>
      </c>
      <c r="C9" s="102">
        <v>0</v>
      </c>
      <c r="D9" s="74" t="s">
        <v>66</v>
      </c>
      <c r="E9" s="118">
        <v>0</v>
      </c>
      <c r="F9" s="14"/>
      <c r="G9" s="13" t="s">
        <v>68</v>
      </c>
    </row>
    <row r="10" spans="1:7" ht="17" thickBot="1" x14ac:dyDescent="0.25">
      <c r="A10" s="53" t="s">
        <v>34</v>
      </c>
      <c r="B10" s="55" t="s">
        <v>231</v>
      </c>
      <c r="C10" s="103">
        <v>0.5</v>
      </c>
      <c r="D10" s="75" t="s">
        <v>87</v>
      </c>
      <c r="E10" s="124">
        <v>0</v>
      </c>
      <c r="F10" s="14"/>
      <c r="G10" s="13" t="s">
        <v>34</v>
      </c>
    </row>
    <row r="11" spans="1:7" x14ac:dyDescent="0.2">
      <c r="A11" s="4"/>
      <c r="B11" s="4"/>
      <c r="C11" s="7"/>
      <c r="D11" s="4"/>
      <c r="E11" s="4"/>
      <c r="F11" s="4"/>
      <c r="G11" s="13"/>
    </row>
    <row r="12" spans="1:7" x14ac:dyDescent="0.2">
      <c r="A12" s="79" t="s">
        <v>69</v>
      </c>
      <c r="B12" s="80" t="s">
        <v>18</v>
      </c>
      <c r="C12" s="80">
        <f>Cpw/dparticle</f>
        <v>8.3333333333333333E-7</v>
      </c>
      <c r="D12" s="80" t="s">
        <v>70</v>
      </c>
      <c r="E12" s="80"/>
      <c r="F12" s="79"/>
      <c r="G12" s="79" t="s">
        <v>71</v>
      </c>
    </row>
    <row r="13" spans="1:7" x14ac:dyDescent="0.2">
      <c r="A13" s="79" t="s">
        <v>72</v>
      </c>
      <c r="B13" s="80" t="s">
        <v>18</v>
      </c>
      <c r="C13" s="80">
        <f>LCaq/dlipid</f>
        <v>0</v>
      </c>
      <c r="D13" s="80" t="s">
        <v>70</v>
      </c>
      <c r="E13" s="80"/>
      <c r="F13" s="79"/>
      <c r="G13" s="79" t="s">
        <v>73</v>
      </c>
    </row>
    <row r="14" spans="1:7" x14ac:dyDescent="0.2">
      <c r="A14" s="79" t="s">
        <v>74</v>
      </c>
      <c r="B14" s="80" t="s">
        <v>18</v>
      </c>
      <c r="C14" s="80">
        <f>PCaq/dProtein</f>
        <v>0</v>
      </c>
      <c r="D14" s="80" t="s">
        <v>70</v>
      </c>
      <c r="E14" s="80"/>
      <c r="F14" s="79"/>
      <c r="G14" s="79" t="s">
        <v>75</v>
      </c>
    </row>
    <row r="15" spans="1:7" x14ac:dyDescent="0.2">
      <c r="A15" s="79" t="s">
        <v>76</v>
      </c>
      <c r="B15" s="80" t="s">
        <v>18</v>
      </c>
      <c r="C15" s="80">
        <f>1-VFPW-VFLW-VFPRW</f>
        <v>0.99999916666666666</v>
      </c>
      <c r="D15" s="80" t="s">
        <v>70</v>
      </c>
      <c r="E15" s="80"/>
      <c r="F15" s="79"/>
      <c r="G15" s="79" t="s">
        <v>77</v>
      </c>
    </row>
    <row r="16" spans="1:7" x14ac:dyDescent="0.2">
      <c r="A16" s="79"/>
      <c r="B16" s="80"/>
      <c r="C16" s="80"/>
      <c r="D16" s="80"/>
      <c r="E16" s="80"/>
      <c r="F16" s="79"/>
      <c r="G16" s="79"/>
    </row>
    <row r="17" spans="1:7" x14ac:dyDescent="0.2">
      <c r="A17" s="79" t="s">
        <v>88</v>
      </c>
      <c r="B17" s="80" t="s">
        <v>18</v>
      </c>
      <c r="C17" s="80">
        <f>IF(ISNUMBER(Salinity),10^(-(0.04*logKow+0.114)*Salinity),1)</f>
        <v>0.72044362041528431</v>
      </c>
      <c r="D17" s="80" t="s">
        <v>8</v>
      </c>
      <c r="E17" s="80"/>
      <c r="F17" s="79"/>
      <c r="G17" s="79" t="s">
        <v>143</v>
      </c>
    </row>
    <row r="18" spans="1:7" x14ac:dyDescent="0.2">
      <c r="A18" s="79"/>
      <c r="B18" s="80"/>
      <c r="C18" s="80"/>
      <c r="D18" s="80"/>
      <c r="E18" s="80"/>
      <c r="F18" s="79"/>
      <c r="G18" s="79"/>
    </row>
    <row r="19" spans="1:7" x14ac:dyDescent="0.2">
      <c r="A19" s="79" t="s">
        <v>179</v>
      </c>
      <c r="B19" s="80" t="s">
        <v>18</v>
      </c>
      <c r="C19" s="80">
        <f>ConcAqgL*1000/MW</f>
        <v>1.7959770114942532E-5</v>
      </c>
      <c r="D19" s="80" t="s">
        <v>64</v>
      </c>
      <c r="E19" s="80"/>
      <c r="F19" s="79"/>
      <c r="G19" s="79" t="s">
        <v>56</v>
      </c>
    </row>
    <row r="20" spans="1:7" x14ac:dyDescent="0.2">
      <c r="A20" s="79"/>
      <c r="B20" s="80"/>
      <c r="C20" s="80"/>
      <c r="D20" s="80"/>
      <c r="E20" s="80"/>
      <c r="F20" s="79"/>
      <c r="G20" s="79"/>
    </row>
    <row r="21" spans="1:7" x14ac:dyDescent="0.2">
      <c r="A21" s="79" t="s">
        <v>256</v>
      </c>
      <c r="B21" s="80" t="s">
        <v>18</v>
      </c>
      <c r="C21" s="80">
        <f>SalCor*Sw*(VFWW+Ocpw*(Soc/Sw)*dparticle*VFPW+(Slipid/Sw)*VFLW+(Sprotein/Sw)*VFPRW)</f>
        <v>2.5649443058506024E-2</v>
      </c>
      <c r="D21" s="80" t="s">
        <v>64</v>
      </c>
      <c r="E21" s="80"/>
      <c r="F21" s="79"/>
      <c r="G21" s="79" t="s">
        <v>57</v>
      </c>
    </row>
    <row r="22" spans="1:7" x14ac:dyDescent="0.2">
      <c r="A22" s="79" t="s">
        <v>257</v>
      </c>
      <c r="B22" s="80" t="s">
        <v>18</v>
      </c>
      <c r="C22" s="80">
        <f>SolAq*MW/1000</f>
        <v>7.1408049474880764E-3</v>
      </c>
      <c r="D22" s="80" t="s">
        <v>83</v>
      </c>
      <c r="E22" s="80"/>
      <c r="F22" s="79"/>
      <c r="G22" s="79" t="s">
        <v>84</v>
      </c>
    </row>
    <row r="23" spans="1:7" x14ac:dyDescent="0.2">
      <c r="A23" s="79"/>
      <c r="B23" s="80"/>
      <c r="C23" s="80"/>
      <c r="D23" s="80"/>
      <c r="E23" s="80"/>
      <c r="F23" s="79"/>
      <c r="G23" s="79"/>
    </row>
    <row r="24" spans="1:7" x14ac:dyDescent="0.2">
      <c r="A24" s="79" t="s">
        <v>244</v>
      </c>
      <c r="B24" s="80" t="s">
        <v>18</v>
      </c>
      <c r="C24" s="80">
        <f>SalCor*SwT*(VFWW+Ocpw*(SocT/SwT)*dparticle*VFPW+(SlipidT/SwT)*VFLW+(SproteinT/SwT)*VFPRW)</f>
        <v>2.2351803668724753E-2</v>
      </c>
      <c r="D24" s="80" t="s">
        <v>64</v>
      </c>
      <c r="E24" s="80"/>
      <c r="F24" s="79"/>
      <c r="G24" s="79" t="s">
        <v>141</v>
      </c>
    </row>
    <row r="25" spans="1:7" x14ac:dyDescent="0.2">
      <c r="A25" s="79" t="s">
        <v>245</v>
      </c>
      <c r="B25" s="80" t="s">
        <v>18</v>
      </c>
      <c r="C25" s="80">
        <f>SolAqT*MW/1000</f>
        <v>6.2227421413729705E-3</v>
      </c>
      <c r="D25" s="80" t="s">
        <v>83</v>
      </c>
      <c r="E25" s="80"/>
      <c r="F25" s="79"/>
      <c r="G25" s="79" t="s">
        <v>142</v>
      </c>
    </row>
    <row r="26" spans="1:7" ht="17" thickBot="1" x14ac:dyDescent="0.25">
      <c r="A26" s="84"/>
      <c r="B26" s="85"/>
      <c r="C26" s="85"/>
      <c r="D26" s="85"/>
      <c r="E26" s="85"/>
      <c r="F26" s="84"/>
      <c r="G26" s="79"/>
    </row>
    <row r="27" spans="1:7" s="11" customFormat="1" ht="17" thickBot="1" x14ac:dyDescent="0.25">
      <c r="A27" s="86" t="s">
        <v>144</v>
      </c>
      <c r="B27" s="87" t="s">
        <v>18</v>
      </c>
      <c r="C27" s="88">
        <f>F*ConcAq/SolAqT</f>
        <v>3.9563067673237477E-5</v>
      </c>
      <c r="D27" s="89" t="s">
        <v>61</v>
      </c>
      <c r="E27" s="100"/>
      <c r="F27" s="101"/>
      <c r="G27" s="92" t="s">
        <v>58</v>
      </c>
    </row>
    <row r="28" spans="1:7" x14ac:dyDescent="0.2">
      <c r="A28" s="84"/>
      <c r="B28" s="80"/>
      <c r="C28" s="93"/>
      <c r="D28" s="85"/>
      <c r="E28" s="85"/>
      <c r="F28" s="84"/>
      <c r="G28" s="79"/>
    </row>
    <row r="29" spans="1:7" x14ac:dyDescent="0.2">
      <c r="A29" s="84" t="s">
        <v>145</v>
      </c>
      <c r="B29" s="80" t="s">
        <v>18</v>
      </c>
      <c r="C29" s="80">
        <f>ConcAq/FugAq</f>
        <v>5.9710753889598305</v>
      </c>
      <c r="D29" s="80" t="s">
        <v>85</v>
      </c>
      <c r="E29" s="85"/>
      <c r="F29" s="84"/>
      <c r="G29" s="79" t="s">
        <v>59</v>
      </c>
    </row>
    <row r="30" spans="1:7" ht="17" thickBot="1" x14ac:dyDescent="0.25">
      <c r="A30" s="94"/>
      <c r="B30" s="99"/>
      <c r="C30" s="95"/>
      <c r="D30" s="95"/>
      <c r="E30" s="95"/>
      <c r="F30" s="94"/>
      <c r="G30" s="96"/>
    </row>
    <row r="31" spans="1:7" s="11" customFormat="1" ht="17" thickBot="1" x14ac:dyDescent="0.25">
      <c r="A31" s="97" t="s">
        <v>146</v>
      </c>
      <c r="B31" s="87" t="s">
        <v>18</v>
      </c>
      <c r="C31" s="98">
        <f>ActivityAq*(VPT/F)</f>
        <v>3.0077949020957094E-6</v>
      </c>
      <c r="D31" s="89" t="s">
        <v>4</v>
      </c>
      <c r="E31" s="100"/>
      <c r="F31" s="101"/>
      <c r="G31" s="92" t="s">
        <v>60</v>
      </c>
    </row>
    <row r="35" spans="3:3" x14ac:dyDescent="0.2">
      <c r="C35" s="9" t="s">
        <v>7</v>
      </c>
    </row>
  </sheetData>
  <sheetProtection password="A2E8" sheet="1" objects="1" scenarios="1" formatCells="0"/>
  <customSheetViews>
    <customSheetView guid="{82F232E5-57E6-2D41-958D-D8709BEC5D76}">
      <selection activeCell="A26" sqref="A26"/>
      <pageMargins left="0.7" right="0.7" top="0.75" bottom="0.75" header="0.3" footer="0.3"/>
    </customSheetView>
  </customSheetViews>
  <phoneticPr fontId="3" type="noConversion"/>
  <printOptions horizontalCentered="1" verticalCentered="1"/>
  <pageMargins left="0.75" right="0.75" top="1" bottom="1" header="0.5" footer="0.5"/>
  <pageSetup scale="88" orientation="landscape" horizontalDpi="4294967292" verticalDpi="4294967292"/>
  <headerFooter>
    <oddHeader xml:space="preserve">&amp;C&amp;K01+000Gobas, F. A. P. C. Otton, S. V., Tupper-Ring, L. F., Crawford, M.A. 2015. Thermodynamic Activity Calculator for Solid and Liquid Hydrophobic Organic Chemicals in Environmental Media: Excel Model Version 1.1. </oddHeader>
    <oddFooter>&amp;L&amp;K000000&amp;F&amp;C&amp;K000000&amp;P of &amp;N&amp;R&amp;K000000&amp;A</oddFooter>
  </headerFooter>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H30"/>
  <sheetViews>
    <sheetView workbookViewId="0">
      <selection activeCell="C9" sqref="C9"/>
    </sheetView>
  </sheetViews>
  <sheetFormatPr baseColWidth="10" defaultColWidth="8.83203125" defaultRowHeight="14" x14ac:dyDescent="0.2"/>
  <cols>
    <col min="1" max="1" width="61" style="60" customWidth="1"/>
    <col min="2" max="2" width="17.5" style="60" bestFit="1" customWidth="1"/>
    <col min="3" max="3" width="12.1640625" style="219" bestFit="1" customWidth="1"/>
    <col min="4" max="4" width="10.1640625" style="60" bestFit="1" customWidth="1"/>
    <col min="5" max="5" width="12.5" style="219" bestFit="1" customWidth="1"/>
    <col min="6" max="6" width="5.5" style="219" hidden="1" customWidth="1"/>
    <col min="7" max="7" width="12.33203125" style="203" hidden="1" customWidth="1"/>
    <col min="8" max="16384" width="8.83203125" style="60"/>
  </cols>
  <sheetData>
    <row r="1" spans="1:8" ht="16" x14ac:dyDescent="0.2">
      <c r="A1" s="177" t="s">
        <v>46</v>
      </c>
      <c r="B1" s="59" t="s">
        <v>187</v>
      </c>
      <c r="C1" s="178"/>
      <c r="D1" s="59"/>
      <c r="E1" s="178"/>
      <c r="F1" s="178"/>
      <c r="G1" s="179"/>
      <c r="H1" s="59"/>
    </row>
    <row r="2" spans="1:8" ht="17" thickBot="1" x14ac:dyDescent="0.25">
      <c r="A2" s="59"/>
      <c r="B2" s="59"/>
      <c r="C2" s="178"/>
      <c r="D2" s="59"/>
      <c r="E2" s="178"/>
      <c r="F2" s="178"/>
      <c r="G2" s="179"/>
      <c r="H2" s="59"/>
    </row>
    <row r="3" spans="1:8" ht="16" x14ac:dyDescent="0.2">
      <c r="A3" s="180" t="s">
        <v>52</v>
      </c>
      <c r="B3" s="181" t="s">
        <v>10</v>
      </c>
      <c r="C3" s="182" t="s">
        <v>162</v>
      </c>
      <c r="D3" s="182" t="s">
        <v>155</v>
      </c>
      <c r="E3" s="183" t="s">
        <v>19</v>
      </c>
      <c r="F3" s="184"/>
      <c r="G3" s="185" t="s">
        <v>154</v>
      </c>
      <c r="H3" s="59"/>
    </row>
    <row r="4" spans="1:8" ht="16" x14ac:dyDescent="0.2">
      <c r="A4" s="186"/>
      <c r="B4" s="187"/>
      <c r="C4" s="188"/>
      <c r="D4" s="189"/>
      <c r="E4" s="190"/>
      <c r="F4" s="191"/>
      <c r="G4" s="192"/>
      <c r="H4" s="59"/>
    </row>
    <row r="5" spans="1:8" ht="16" x14ac:dyDescent="0.2">
      <c r="A5" s="193" t="s">
        <v>190</v>
      </c>
      <c r="B5" s="194" t="s">
        <v>231</v>
      </c>
      <c r="C5" s="195">
        <v>2</v>
      </c>
      <c r="D5" s="196" t="s">
        <v>182</v>
      </c>
      <c r="E5" s="197" t="s">
        <v>216</v>
      </c>
      <c r="F5" s="178"/>
      <c r="G5" s="179" t="s">
        <v>191</v>
      </c>
      <c r="H5" s="59"/>
    </row>
    <row r="6" spans="1:8" ht="16" x14ac:dyDescent="0.2">
      <c r="A6" s="193" t="s">
        <v>50</v>
      </c>
      <c r="B6" s="194" t="s">
        <v>231</v>
      </c>
      <c r="C6" s="195">
        <v>0.1</v>
      </c>
      <c r="D6" s="196" t="s">
        <v>86</v>
      </c>
      <c r="E6" s="197">
        <v>0.05</v>
      </c>
      <c r="F6" s="178"/>
      <c r="G6" s="179" t="s">
        <v>192</v>
      </c>
      <c r="H6" s="59"/>
    </row>
    <row r="7" spans="1:8" ht="16" x14ac:dyDescent="0.2">
      <c r="A7" s="193" t="s">
        <v>49</v>
      </c>
      <c r="B7" s="194" t="s">
        <v>231</v>
      </c>
      <c r="C7" s="195">
        <v>0.15</v>
      </c>
      <c r="D7" s="196" t="s">
        <v>86</v>
      </c>
      <c r="E7" s="197">
        <v>0.15</v>
      </c>
      <c r="F7" s="178"/>
      <c r="G7" s="179" t="s">
        <v>193</v>
      </c>
      <c r="H7" s="59"/>
    </row>
    <row r="8" spans="1:8" ht="16" x14ac:dyDescent="0.2">
      <c r="A8" s="193" t="s">
        <v>42</v>
      </c>
      <c r="B8" s="194" t="s">
        <v>231</v>
      </c>
      <c r="C8" s="195">
        <v>0</v>
      </c>
      <c r="D8" s="196" t="s">
        <v>86</v>
      </c>
      <c r="E8" s="197">
        <v>0</v>
      </c>
      <c r="F8" s="178"/>
      <c r="G8" s="179" t="s">
        <v>194</v>
      </c>
      <c r="H8" s="59"/>
    </row>
    <row r="9" spans="1:8" s="203" customFormat="1" ht="17" thickBot="1" x14ac:dyDescent="0.25">
      <c r="A9" s="198" t="s">
        <v>43</v>
      </c>
      <c r="B9" s="200" t="s">
        <v>18</v>
      </c>
      <c r="C9" s="199">
        <f>IF(LcB+PrCB+OcB&gt;1,"Error in Biota Composition",1-LcB-PrCB-OcB)</f>
        <v>0.75</v>
      </c>
      <c r="D9" s="200" t="s">
        <v>86</v>
      </c>
      <c r="E9" s="201" t="s">
        <v>89</v>
      </c>
      <c r="F9" s="202"/>
      <c r="G9" s="179" t="s">
        <v>195</v>
      </c>
      <c r="H9" s="179"/>
    </row>
    <row r="10" spans="1:8" s="203" customFormat="1" ht="16" x14ac:dyDescent="0.2">
      <c r="A10" s="179"/>
      <c r="B10" s="179"/>
      <c r="C10" s="202"/>
      <c r="D10" s="179"/>
      <c r="E10" s="202"/>
      <c r="F10" s="202"/>
      <c r="G10" s="179"/>
    </row>
    <row r="11" spans="1:8" s="203" customFormat="1" ht="16" x14ac:dyDescent="0.2">
      <c r="A11" s="204" t="s">
        <v>273</v>
      </c>
      <c r="B11" s="205" t="s">
        <v>18</v>
      </c>
      <c r="C11" s="205">
        <f>(LcB*dlipid+PrCB*dProtein+OcB*dOC+WcB*dwater)</f>
        <v>0.97500000000000009</v>
      </c>
      <c r="D11" s="205" t="s">
        <v>33</v>
      </c>
      <c r="E11" s="205"/>
      <c r="F11" s="206"/>
      <c r="G11" s="204" t="s">
        <v>274</v>
      </c>
    </row>
    <row r="12" spans="1:8" s="203" customFormat="1" ht="16" x14ac:dyDescent="0.2">
      <c r="A12" s="204"/>
      <c r="B12" s="205"/>
      <c r="C12" s="205"/>
      <c r="D12" s="205"/>
      <c r="E12" s="205"/>
      <c r="F12" s="206"/>
      <c r="G12" s="204"/>
    </row>
    <row r="13" spans="1:8" s="203" customFormat="1" ht="16" x14ac:dyDescent="0.2">
      <c r="A13" s="204" t="s">
        <v>196</v>
      </c>
      <c r="B13" s="205" t="s">
        <v>18</v>
      </c>
      <c r="C13" s="205">
        <f>LcB*db/dlipid</f>
        <v>0.10833333333333335</v>
      </c>
      <c r="D13" s="205" t="s">
        <v>70</v>
      </c>
      <c r="E13" s="205" t="s">
        <v>89</v>
      </c>
      <c r="F13" s="206"/>
      <c r="G13" s="204" t="s">
        <v>197</v>
      </c>
    </row>
    <row r="14" spans="1:8" s="203" customFormat="1" ht="16" x14ac:dyDescent="0.2">
      <c r="A14" s="204" t="s">
        <v>199</v>
      </c>
      <c r="B14" s="205" t="s">
        <v>18</v>
      </c>
      <c r="C14" s="205">
        <f>PrCB*db/dProtein</f>
        <v>0.16250000000000001</v>
      </c>
      <c r="D14" s="205" t="s">
        <v>70</v>
      </c>
      <c r="E14" s="205" t="s">
        <v>89</v>
      </c>
      <c r="F14" s="206"/>
      <c r="G14" s="204" t="s">
        <v>200</v>
      </c>
    </row>
    <row r="15" spans="1:8" s="203" customFormat="1" ht="16" x14ac:dyDescent="0.2">
      <c r="A15" s="204" t="s">
        <v>188</v>
      </c>
      <c r="B15" s="205" t="s">
        <v>18</v>
      </c>
      <c r="C15" s="205">
        <f>OcB*db/dOC</f>
        <v>0</v>
      </c>
      <c r="D15" s="205" t="s">
        <v>70</v>
      </c>
      <c r="E15" s="205" t="s">
        <v>89</v>
      </c>
      <c r="F15" s="206"/>
      <c r="G15" s="204" t="s">
        <v>201</v>
      </c>
    </row>
    <row r="16" spans="1:8" s="203" customFormat="1" ht="16" x14ac:dyDescent="0.2">
      <c r="A16" s="204" t="s">
        <v>189</v>
      </c>
      <c r="B16" s="205" t="s">
        <v>18</v>
      </c>
      <c r="C16" s="205">
        <f>1-VFLB-VFPRB-VFOCB</f>
        <v>0.72916666666666663</v>
      </c>
      <c r="D16" s="205" t="s">
        <v>70</v>
      </c>
      <c r="E16" s="205" t="s">
        <v>89</v>
      </c>
      <c r="F16" s="206"/>
      <c r="G16" s="204" t="s">
        <v>198</v>
      </c>
    </row>
    <row r="17" spans="1:8" s="203" customFormat="1" ht="16" x14ac:dyDescent="0.2">
      <c r="A17" s="204"/>
      <c r="B17" s="205"/>
      <c r="C17" s="205"/>
      <c r="D17" s="205"/>
      <c r="E17" s="205" t="s">
        <v>7</v>
      </c>
      <c r="F17" s="206"/>
      <c r="G17" s="204"/>
    </row>
    <row r="18" spans="1:8" s="203" customFormat="1" ht="16" x14ac:dyDescent="0.2">
      <c r="A18" s="204" t="s">
        <v>190</v>
      </c>
      <c r="B18" s="205" t="s">
        <v>18</v>
      </c>
      <c r="C18" s="205">
        <f>ConcBgkg*1000*db/MW</f>
        <v>7.0043103448275872</v>
      </c>
      <c r="D18" s="205" t="s">
        <v>64</v>
      </c>
      <c r="E18" s="205" t="s">
        <v>89</v>
      </c>
      <c r="F18" s="206"/>
      <c r="G18" s="204" t="s">
        <v>202</v>
      </c>
      <c r="H18" s="179"/>
    </row>
    <row r="19" spans="1:8" s="203" customFormat="1" ht="16" x14ac:dyDescent="0.2">
      <c r="A19" s="204"/>
      <c r="B19" s="205"/>
      <c r="C19" s="205"/>
      <c r="D19" s="205"/>
      <c r="E19" s="205" t="s">
        <v>7</v>
      </c>
      <c r="F19" s="206"/>
      <c r="G19" s="204"/>
    </row>
    <row r="20" spans="1:8" s="203" customFormat="1" ht="16" x14ac:dyDescent="0.2">
      <c r="A20" s="204" t="s">
        <v>258</v>
      </c>
      <c r="B20" s="205" t="s">
        <v>18</v>
      </c>
      <c r="C20" s="205">
        <f>VFLB*Slipid+VFPRB*Sprotein+VFOCB*Soc*VFWB*Sw</f>
        <v>69.480522852085755</v>
      </c>
      <c r="D20" s="205" t="s">
        <v>64</v>
      </c>
      <c r="E20" s="205" t="s">
        <v>89</v>
      </c>
      <c r="F20" s="206"/>
      <c r="G20" s="204" t="s">
        <v>203</v>
      </c>
      <c r="H20" s="179"/>
    </row>
    <row r="21" spans="1:8" s="203" customFormat="1" ht="16" x14ac:dyDescent="0.2">
      <c r="A21" s="204" t="s">
        <v>259</v>
      </c>
      <c r="B21" s="205" t="s">
        <v>18</v>
      </c>
      <c r="C21" s="205">
        <f>SolB*MW/1000</f>
        <v>19.343377562020674</v>
      </c>
      <c r="D21" s="205" t="s">
        <v>83</v>
      </c>
      <c r="E21" s="205" t="s">
        <v>89</v>
      </c>
      <c r="F21" s="206"/>
      <c r="G21" s="204" t="s">
        <v>204</v>
      </c>
      <c r="H21" s="179"/>
    </row>
    <row r="22" spans="1:8" s="203" customFormat="1" ht="16" x14ac:dyDescent="0.2">
      <c r="A22" s="204"/>
      <c r="B22" s="205"/>
      <c r="C22" s="205"/>
      <c r="D22" s="205"/>
      <c r="E22" s="205" t="s">
        <v>7</v>
      </c>
      <c r="F22" s="206"/>
      <c r="G22" s="204"/>
    </row>
    <row r="23" spans="1:8" s="203" customFormat="1" ht="16" x14ac:dyDescent="0.2">
      <c r="A23" s="204" t="s">
        <v>240</v>
      </c>
      <c r="B23" s="205" t="s">
        <v>18</v>
      </c>
      <c r="C23" s="205">
        <f>VFLB*SlipidT+VFPRB*SproteinT+VFOCB*SocT+VFWB*SwT</f>
        <v>60.570329640946561</v>
      </c>
      <c r="D23" s="205" t="s">
        <v>64</v>
      </c>
      <c r="E23" s="205" t="s">
        <v>89</v>
      </c>
      <c r="F23" s="206"/>
      <c r="G23" s="204" t="s">
        <v>205</v>
      </c>
    </row>
    <row r="24" spans="1:8" s="203" customFormat="1" ht="16" x14ac:dyDescent="0.2">
      <c r="A24" s="204" t="s">
        <v>241</v>
      </c>
      <c r="B24" s="205" t="s">
        <v>18</v>
      </c>
      <c r="C24" s="205">
        <f>SolBT*MW/1000</f>
        <v>16.86277977203952</v>
      </c>
      <c r="D24" s="205" t="s">
        <v>83</v>
      </c>
      <c r="E24" s="205" t="s">
        <v>89</v>
      </c>
      <c r="F24" s="206"/>
      <c r="G24" s="204" t="s">
        <v>206</v>
      </c>
    </row>
    <row r="25" spans="1:8" ht="17" thickBot="1" x14ac:dyDescent="0.25">
      <c r="A25" s="127"/>
      <c r="B25" s="207"/>
      <c r="C25" s="207"/>
      <c r="D25" s="207"/>
      <c r="E25" s="207" t="s">
        <v>7</v>
      </c>
      <c r="F25" s="208"/>
      <c r="G25" s="204"/>
    </row>
    <row r="26" spans="1:8" s="215" customFormat="1" ht="17" thickBot="1" x14ac:dyDescent="0.25">
      <c r="A26" s="209" t="s">
        <v>144</v>
      </c>
      <c r="B26" s="210" t="s">
        <v>18</v>
      </c>
      <c r="C26" s="211">
        <f>F*ConcB/SolBT</f>
        <v>5.6938654832923196E-3</v>
      </c>
      <c r="D26" s="210" t="s">
        <v>61</v>
      </c>
      <c r="E26" s="212" t="s">
        <v>89</v>
      </c>
      <c r="F26" s="213"/>
      <c r="G26" s="214" t="s">
        <v>207</v>
      </c>
    </row>
    <row r="27" spans="1:8" ht="16" x14ac:dyDescent="0.2">
      <c r="A27" s="127"/>
      <c r="B27" s="207"/>
      <c r="C27" s="216"/>
      <c r="D27" s="207"/>
      <c r="E27" s="205" t="s">
        <v>7</v>
      </c>
      <c r="F27" s="206"/>
      <c r="G27" s="204"/>
    </row>
    <row r="28" spans="1:8" s="203" customFormat="1" ht="16" x14ac:dyDescent="0.2">
      <c r="A28" s="204" t="s">
        <v>145</v>
      </c>
      <c r="B28" s="205" t="s">
        <v>18</v>
      </c>
      <c r="C28" s="205">
        <f>ConcB/FugB</f>
        <v>16180.797307480763</v>
      </c>
      <c r="D28" s="205" t="s">
        <v>85</v>
      </c>
      <c r="E28" s="205" t="s">
        <v>89</v>
      </c>
      <c r="F28" s="206"/>
      <c r="G28" s="204" t="s">
        <v>209</v>
      </c>
    </row>
    <row r="29" spans="1:8" ht="17" thickBot="1" x14ac:dyDescent="0.25">
      <c r="A29" s="127"/>
      <c r="B29" s="207"/>
      <c r="C29" s="207"/>
      <c r="D29" s="207"/>
      <c r="E29" s="205" t="s">
        <v>7</v>
      </c>
      <c r="F29" s="206"/>
      <c r="G29" s="204"/>
    </row>
    <row r="30" spans="1:8" s="215" customFormat="1" ht="17" thickBot="1" x14ac:dyDescent="0.25">
      <c r="A30" s="217" t="s">
        <v>146</v>
      </c>
      <c r="B30" s="210" t="s">
        <v>18</v>
      </c>
      <c r="C30" s="218">
        <f>ActivityB*(VPT/F)</f>
        <v>4.3287794857854934E-4</v>
      </c>
      <c r="D30" s="210" t="s">
        <v>4</v>
      </c>
      <c r="E30" s="212" t="s">
        <v>89</v>
      </c>
      <c r="F30" s="213"/>
      <c r="G30" s="214" t="s">
        <v>208</v>
      </c>
    </row>
  </sheetData>
  <sheetProtection password="A2E8" sheet="1" objects="1" scenarios="1" formatCells="0"/>
  <customSheetViews>
    <customSheetView guid="{82F232E5-57E6-2D41-958D-D8709BEC5D76}">
      <selection activeCell="A23" sqref="A23"/>
      <pageMargins left="0.7" right="0.7" top="0.75" bottom="0.75" header="0.3" footer="0.3"/>
    </customSheetView>
  </customSheetViews>
  <phoneticPr fontId="3" type="noConversion"/>
  <printOptions horizontalCentered="1" verticalCentered="1"/>
  <pageMargins left="0.75" right="0.75" top="1" bottom="1" header="0.5" footer="0.5"/>
  <pageSetup orientation="landscape" horizontalDpi="4294967292" verticalDpi="4294967292"/>
  <headerFooter>
    <oddHeader xml:space="preserve">&amp;C&amp;K01+000Gobas, F. A. P. C. Otton, S. V., Tupper-Ring, L. F., Crawford, M.A. 2015. Thermodynamic Activity Calculator for Solid and Liquid Hydrophobic Organic Chemicals in Environmental Media: Excel Model Version 1.1. </oddHeader>
    <oddFooter>&amp;L&amp;K000000&amp;F&amp;C&amp;K000000&amp;P of &amp;N&amp;R&amp;K000000&amp;A</oddFooter>
  </headerFooter>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I31"/>
  <sheetViews>
    <sheetView workbookViewId="0">
      <selection activeCell="C31" sqref="C31"/>
    </sheetView>
  </sheetViews>
  <sheetFormatPr baseColWidth="10" defaultColWidth="8.83203125" defaultRowHeight="13" x14ac:dyDescent="0.15"/>
  <cols>
    <col min="1" max="1" width="61.33203125" customWidth="1"/>
    <col min="2" max="2" width="18.33203125" bestFit="1" customWidth="1"/>
    <col min="3" max="3" width="13.5" style="22" bestFit="1" customWidth="1"/>
    <col min="4" max="4" width="11.1640625" style="125" bestFit="1" customWidth="1"/>
    <col min="5" max="5" width="14.1640625" style="125" bestFit="1" customWidth="1"/>
    <col min="6" max="6" width="6" style="22" hidden="1" customWidth="1"/>
    <col min="7" max="7" width="12.1640625" style="20" hidden="1" customWidth="1"/>
  </cols>
  <sheetData>
    <row r="1" spans="1:9" ht="16" x14ac:dyDescent="0.2">
      <c r="A1" s="6" t="s">
        <v>41</v>
      </c>
      <c r="B1" s="4" t="s">
        <v>177</v>
      </c>
      <c r="C1" s="14"/>
      <c r="D1" s="73"/>
      <c r="E1" s="73"/>
      <c r="F1" s="14"/>
      <c r="G1" s="13"/>
    </row>
    <row r="2" spans="1:9" ht="17" thickBot="1" x14ac:dyDescent="0.25">
      <c r="A2" s="4"/>
      <c r="B2" s="4"/>
      <c r="C2" s="14"/>
      <c r="D2" s="73"/>
      <c r="E2" s="73"/>
      <c r="F2" s="14"/>
      <c r="G2" s="13"/>
    </row>
    <row r="3" spans="1:9" ht="16" x14ac:dyDescent="0.2">
      <c r="A3" s="43" t="s">
        <v>52</v>
      </c>
      <c r="B3" s="51" t="s">
        <v>10</v>
      </c>
      <c r="C3" s="72" t="s">
        <v>162</v>
      </c>
      <c r="D3" s="72" t="s">
        <v>155</v>
      </c>
      <c r="E3" s="121" t="s">
        <v>19</v>
      </c>
      <c r="F3" s="33"/>
      <c r="G3" s="49" t="s">
        <v>154</v>
      </c>
    </row>
    <row r="4" spans="1:9" ht="16" x14ac:dyDescent="0.2">
      <c r="A4" s="35"/>
      <c r="B4" s="58"/>
      <c r="C4" s="70"/>
      <c r="D4" s="122"/>
      <c r="E4" s="123"/>
      <c r="F4" s="21"/>
      <c r="G4" s="23"/>
    </row>
    <row r="5" spans="1:9" ht="16" x14ac:dyDescent="0.2">
      <c r="A5" s="36" t="s">
        <v>176</v>
      </c>
      <c r="B5" s="37" t="s">
        <v>231</v>
      </c>
      <c r="C5" s="112">
        <v>1E-4</v>
      </c>
      <c r="D5" s="74" t="s">
        <v>182</v>
      </c>
      <c r="E5" s="123" t="s">
        <v>216</v>
      </c>
      <c r="F5" s="21"/>
      <c r="G5" s="13" t="s">
        <v>178</v>
      </c>
    </row>
    <row r="6" spans="1:9" ht="16" x14ac:dyDescent="0.2">
      <c r="A6" s="36" t="s">
        <v>42</v>
      </c>
      <c r="B6" s="37" t="s">
        <v>231</v>
      </c>
      <c r="C6" s="112">
        <v>0.02</v>
      </c>
      <c r="D6" s="74" t="s">
        <v>86</v>
      </c>
      <c r="E6" s="118">
        <v>0.02</v>
      </c>
      <c r="F6" s="14"/>
      <c r="G6" s="13" t="s">
        <v>163</v>
      </c>
    </row>
    <row r="7" spans="1:9" ht="16" x14ac:dyDescent="0.2">
      <c r="A7" s="36" t="s">
        <v>43</v>
      </c>
      <c r="B7" s="37" t="s">
        <v>231</v>
      </c>
      <c r="C7" s="112">
        <v>0.05</v>
      </c>
      <c r="D7" s="74" t="s">
        <v>86</v>
      </c>
      <c r="E7" s="118">
        <v>0</v>
      </c>
      <c r="F7" s="14"/>
      <c r="G7" s="13" t="s">
        <v>164</v>
      </c>
    </row>
    <row r="8" spans="1:9" ht="17" thickBot="1" x14ac:dyDescent="0.25">
      <c r="A8" s="53" t="s">
        <v>233</v>
      </c>
      <c r="B8" s="55" t="s">
        <v>231</v>
      </c>
      <c r="C8" s="120" t="s">
        <v>89</v>
      </c>
      <c r="D8" s="75" t="s">
        <v>87</v>
      </c>
      <c r="E8" s="124" t="s">
        <v>89</v>
      </c>
      <c r="F8" s="14"/>
      <c r="G8" s="13" t="s">
        <v>234</v>
      </c>
    </row>
    <row r="9" spans="1:9" ht="16" x14ac:dyDescent="0.2">
      <c r="A9" s="2"/>
      <c r="B9" s="37"/>
      <c r="C9" s="71"/>
      <c r="D9" s="74"/>
      <c r="E9" s="74"/>
      <c r="F9" s="14"/>
      <c r="G9" s="13"/>
    </row>
    <row r="10" spans="1:9" s="20" customFormat="1" ht="16" x14ac:dyDescent="0.2">
      <c r="A10" s="79" t="s">
        <v>48</v>
      </c>
      <c r="B10" s="80" t="s">
        <v>18</v>
      </c>
      <c r="C10" s="80">
        <f>1-Ocpp-Wcpp</f>
        <v>0.92999999999999994</v>
      </c>
      <c r="D10" s="80" t="s">
        <v>86</v>
      </c>
      <c r="E10" s="80" t="s">
        <v>89</v>
      </c>
      <c r="F10" s="81"/>
      <c r="G10" s="79" t="s">
        <v>165</v>
      </c>
    </row>
    <row r="11" spans="1:9" s="20" customFormat="1" ht="16" x14ac:dyDescent="0.2">
      <c r="A11" s="79"/>
      <c r="B11" s="80"/>
      <c r="C11" s="80"/>
      <c r="D11" s="80"/>
      <c r="E11" s="80"/>
      <c r="F11" s="81"/>
      <c r="G11" s="79"/>
    </row>
    <row r="12" spans="1:9" ht="16" x14ac:dyDescent="0.2">
      <c r="A12" s="79" t="s">
        <v>88</v>
      </c>
      <c r="B12" s="80" t="s">
        <v>18</v>
      </c>
      <c r="C12" s="80">
        <f>IF(ISNUMBER(SalinityWPM),10^(-(0.04*logKow+0.114)*SalinityWPM),1)</f>
        <v>1</v>
      </c>
      <c r="D12" s="80" t="s">
        <v>8</v>
      </c>
      <c r="E12" s="80"/>
      <c r="F12" s="79"/>
      <c r="G12" s="79" t="s">
        <v>235</v>
      </c>
      <c r="H12" s="4"/>
      <c r="I12" s="4"/>
    </row>
    <row r="13" spans="1:9" ht="16" x14ac:dyDescent="0.2">
      <c r="A13" s="79"/>
      <c r="B13" s="80"/>
      <c r="C13" s="80"/>
      <c r="D13" s="80"/>
      <c r="E13" s="80"/>
      <c r="F13" s="79"/>
      <c r="G13" s="79"/>
      <c r="H13" s="4"/>
      <c r="I13" s="4"/>
    </row>
    <row r="14" spans="1:9" s="20" customFormat="1" ht="16" x14ac:dyDescent="0.2">
      <c r="A14" s="79" t="s">
        <v>166</v>
      </c>
      <c r="B14" s="80" t="s">
        <v>18</v>
      </c>
      <c r="C14" s="80">
        <f>Ocpp*dparticle/dOC</f>
        <v>2.4E-2</v>
      </c>
      <c r="D14" s="80" t="s">
        <v>70</v>
      </c>
      <c r="E14" s="80" t="s">
        <v>89</v>
      </c>
      <c r="F14" s="81"/>
      <c r="G14" s="79" t="s">
        <v>169</v>
      </c>
    </row>
    <row r="15" spans="1:9" s="20" customFormat="1" ht="16" x14ac:dyDescent="0.2">
      <c r="A15" s="79" t="s">
        <v>167</v>
      </c>
      <c r="B15" s="80" t="s">
        <v>18</v>
      </c>
      <c r="C15" s="80">
        <f>Wcpp*dparticle/dwater</f>
        <v>0.06</v>
      </c>
      <c r="D15" s="80" t="s">
        <v>70</v>
      </c>
      <c r="E15" s="80" t="s">
        <v>89</v>
      </c>
      <c r="F15" s="81"/>
      <c r="G15" s="79" t="s">
        <v>170</v>
      </c>
    </row>
    <row r="16" spans="1:9" s="20" customFormat="1" ht="16" x14ac:dyDescent="0.2">
      <c r="A16" s="79" t="s">
        <v>168</v>
      </c>
      <c r="B16" s="80" t="s">
        <v>18</v>
      </c>
      <c r="C16" s="80">
        <f>1-VFPP-VFWP</f>
        <v>0.91599999999999993</v>
      </c>
      <c r="D16" s="80" t="s">
        <v>70</v>
      </c>
      <c r="E16" s="80" t="s">
        <v>89</v>
      </c>
      <c r="F16" s="81"/>
      <c r="G16" s="79" t="s">
        <v>171</v>
      </c>
    </row>
    <row r="17" spans="1:7" s="20" customFormat="1" ht="16" x14ac:dyDescent="0.2">
      <c r="A17" s="79"/>
      <c r="B17" s="80"/>
      <c r="C17" s="80"/>
      <c r="D17" s="80"/>
      <c r="E17" s="80" t="s">
        <v>7</v>
      </c>
      <c r="F17" s="81"/>
      <c r="G17" s="79"/>
    </row>
    <row r="18" spans="1:7" s="20" customFormat="1" ht="16" x14ac:dyDescent="0.2">
      <c r="A18" s="79" t="s">
        <v>176</v>
      </c>
      <c r="B18" s="80" t="s">
        <v>18</v>
      </c>
      <c r="C18" s="80">
        <f>ConcPMgkg*1000*dparticle/MW</f>
        <v>4.3103448275862068E-4</v>
      </c>
      <c r="D18" s="80" t="s">
        <v>64</v>
      </c>
      <c r="E18" s="80" t="s">
        <v>89</v>
      </c>
      <c r="F18" s="81"/>
      <c r="G18" s="79" t="s">
        <v>181</v>
      </c>
    </row>
    <row r="19" spans="1:7" s="20" customFormat="1" ht="16" x14ac:dyDescent="0.2">
      <c r="A19" s="82"/>
      <c r="B19" s="80"/>
      <c r="C19" s="83"/>
      <c r="D19" s="83"/>
      <c r="E19" s="80" t="s">
        <v>7</v>
      </c>
      <c r="F19" s="81"/>
      <c r="G19" s="82"/>
    </row>
    <row r="20" spans="1:7" s="20" customFormat="1" ht="16" x14ac:dyDescent="0.2">
      <c r="A20" s="79" t="s">
        <v>260</v>
      </c>
      <c r="B20" s="80" t="s">
        <v>18</v>
      </c>
      <c r="C20" s="80">
        <f>VFPP*Soc+VFWP*Sw*SalCorWPM+VFMP*Smineral</f>
        <v>5.5705213734766437</v>
      </c>
      <c r="D20" s="80" t="s">
        <v>64</v>
      </c>
      <c r="E20" s="80" t="s">
        <v>89</v>
      </c>
      <c r="F20" s="81"/>
      <c r="G20" s="79" t="s">
        <v>172</v>
      </c>
    </row>
    <row r="21" spans="1:7" s="20" customFormat="1" ht="16" x14ac:dyDescent="0.2">
      <c r="A21" s="79" t="s">
        <v>261</v>
      </c>
      <c r="B21" s="80" t="s">
        <v>18</v>
      </c>
      <c r="C21" s="80">
        <f>SolPM*MW/1000</f>
        <v>1.5508331503758974</v>
      </c>
      <c r="D21" s="80" t="s">
        <v>83</v>
      </c>
      <c r="E21" s="80" t="s">
        <v>89</v>
      </c>
      <c r="F21" s="81"/>
      <c r="G21" s="79" t="s">
        <v>173</v>
      </c>
    </row>
    <row r="22" spans="1:7" s="20" customFormat="1" ht="16" x14ac:dyDescent="0.2">
      <c r="A22" s="82"/>
      <c r="B22" s="80"/>
      <c r="C22" s="83"/>
      <c r="D22" s="83"/>
      <c r="E22" s="80" t="s">
        <v>7</v>
      </c>
      <c r="F22" s="81"/>
      <c r="G22" s="82"/>
    </row>
    <row r="23" spans="1:7" s="20" customFormat="1" ht="16" x14ac:dyDescent="0.2">
      <c r="A23" s="79" t="s">
        <v>242</v>
      </c>
      <c r="B23" s="80" t="s">
        <v>18</v>
      </c>
      <c r="C23" s="80">
        <f>VFPP*SocT+VFWP*SwT*SalCorWPM+VFMP*Smineral</f>
        <v>4.8543432225166283</v>
      </c>
      <c r="D23" s="80" t="s">
        <v>64</v>
      </c>
      <c r="E23" s="80" t="s">
        <v>89</v>
      </c>
      <c r="F23" s="81"/>
      <c r="G23" s="79" t="s">
        <v>175</v>
      </c>
    </row>
    <row r="24" spans="1:7" s="20" customFormat="1" ht="16" x14ac:dyDescent="0.2">
      <c r="A24" s="79" t="s">
        <v>243</v>
      </c>
      <c r="B24" s="80" t="s">
        <v>18</v>
      </c>
      <c r="C24" s="80">
        <f>SolPMT*MW/1000</f>
        <v>1.3514491531486292</v>
      </c>
      <c r="D24" s="80" t="s">
        <v>83</v>
      </c>
      <c r="E24" s="80" t="s">
        <v>89</v>
      </c>
      <c r="F24" s="81"/>
      <c r="G24" s="79" t="s">
        <v>184</v>
      </c>
    </row>
    <row r="25" spans="1:7" ht="17" thickBot="1" x14ac:dyDescent="0.25">
      <c r="A25" s="84"/>
      <c r="B25" s="85"/>
      <c r="C25" s="85"/>
      <c r="D25" s="85"/>
      <c r="E25" s="80" t="s">
        <v>7</v>
      </c>
      <c r="F25" s="81"/>
      <c r="G25" s="79"/>
    </row>
    <row r="26" spans="1:7" s="11" customFormat="1" ht="17" thickBot="1" x14ac:dyDescent="0.25">
      <c r="A26" s="86" t="s">
        <v>144</v>
      </c>
      <c r="B26" s="87" t="s">
        <v>18</v>
      </c>
      <c r="C26" s="88">
        <f>F*ConcPM/SolPMT</f>
        <v>4.3720316292240708E-6</v>
      </c>
      <c r="D26" s="89" t="s">
        <v>61</v>
      </c>
      <c r="E26" s="90" t="s">
        <v>89</v>
      </c>
      <c r="F26" s="91"/>
      <c r="G26" s="92" t="s">
        <v>183</v>
      </c>
    </row>
    <row r="27" spans="1:7" ht="16" x14ac:dyDescent="0.2">
      <c r="A27" s="84"/>
      <c r="B27" s="80"/>
      <c r="C27" s="93"/>
      <c r="D27" s="85"/>
      <c r="E27" s="80" t="s">
        <v>7</v>
      </c>
      <c r="F27" s="81"/>
      <c r="G27" s="79"/>
    </row>
    <row r="28" spans="1:7" s="20" customFormat="1" ht="16" x14ac:dyDescent="0.2">
      <c r="A28" s="79" t="s">
        <v>145</v>
      </c>
      <c r="B28" s="80" t="s">
        <v>18</v>
      </c>
      <c r="C28" s="80">
        <f>ConcPM/FugPM</f>
        <v>1296.7924099159161</v>
      </c>
      <c r="D28" s="80" t="s">
        <v>85</v>
      </c>
      <c r="E28" s="80" t="s">
        <v>89</v>
      </c>
      <c r="F28" s="81"/>
      <c r="G28" s="79" t="s">
        <v>186</v>
      </c>
    </row>
    <row r="29" spans="1:7" ht="17" thickBot="1" x14ac:dyDescent="0.25">
      <c r="A29" s="94"/>
      <c r="B29" s="80"/>
      <c r="C29" s="95"/>
      <c r="D29" s="95"/>
      <c r="E29" s="80" t="s">
        <v>7</v>
      </c>
      <c r="F29" s="81"/>
      <c r="G29" s="96"/>
    </row>
    <row r="30" spans="1:7" s="11" customFormat="1" ht="17" thickBot="1" x14ac:dyDescent="0.25">
      <c r="A30" s="97" t="s">
        <v>146</v>
      </c>
      <c r="B30" s="87" t="s">
        <v>18</v>
      </c>
      <c r="C30" s="98">
        <f>ActivityPM*(VPT/F)</f>
        <v>3.3238510609926295E-7</v>
      </c>
      <c r="D30" s="89" t="s">
        <v>4</v>
      </c>
      <c r="E30" s="90" t="s">
        <v>89</v>
      </c>
      <c r="F30" s="91"/>
      <c r="G30" s="92" t="s">
        <v>185</v>
      </c>
    </row>
    <row r="31" spans="1:7" ht="16" x14ac:dyDescent="0.2">
      <c r="B31" s="9"/>
    </row>
  </sheetData>
  <sheetProtection password="A2E8" sheet="1" objects="1" scenarios="1" formatCells="0"/>
  <customSheetViews>
    <customSheetView guid="{82F232E5-57E6-2D41-958D-D8709BEC5D76}">
      <selection activeCell="A25" sqref="A25"/>
      <pageMargins left="0.7" right="0.7" top="0.75" bottom="0.75" header="0.3" footer="0.3"/>
    </customSheetView>
  </customSheetViews>
  <phoneticPr fontId="3" type="noConversion"/>
  <printOptions horizontalCentered="1" verticalCentered="1"/>
  <pageMargins left="0.75" right="0.75" top="1" bottom="1" header="0.5" footer="0.5"/>
  <pageSetup scale="96" orientation="landscape" horizontalDpi="4294967292" verticalDpi="4294967292"/>
  <headerFooter>
    <oddHeader xml:space="preserve">&amp;C&amp;K01+000Gobas, F. A. P. C. Otton, S. V., Tupper-Ring, L. F., Crawford, M.A. 2015. Thermodynamic Activity Calculator for Solid and Liquid Hydrophobic Organic Chemicals in Environmental Media: Excel Model Version 1.1. </oddHeader>
    <oddFooter>&amp;L&amp;K000000&amp;F&amp;C&amp;K000000&amp;P of &amp;N&amp;R&amp;K000000&amp;A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39997558519241921"/>
    <pageSetUpPr fitToPage="1"/>
  </sheetPr>
  <dimension ref="A1:E28"/>
  <sheetViews>
    <sheetView showGridLines="0" view="pageLayout" workbookViewId="0">
      <selection activeCell="A2" sqref="A2"/>
    </sheetView>
  </sheetViews>
  <sheetFormatPr baseColWidth="10" defaultColWidth="8.83203125" defaultRowHeight="16" x14ac:dyDescent="0.2"/>
  <cols>
    <col min="1" max="1" width="23.5" style="127" customWidth="1"/>
    <col min="2" max="2" width="24.83203125" style="127" customWidth="1"/>
    <col min="3" max="3" width="29.33203125" style="127" customWidth="1"/>
    <col min="4" max="4" width="5.83203125" style="143" customWidth="1"/>
    <col min="5" max="5" width="11" style="144" customWidth="1"/>
    <col min="6" max="16384" width="8.83203125" style="60"/>
  </cols>
  <sheetData>
    <row r="1" spans="1:5" x14ac:dyDescent="0.2">
      <c r="A1" s="126" t="s">
        <v>262</v>
      </c>
    </row>
    <row r="3" spans="1:5" x14ac:dyDescent="0.2">
      <c r="A3" s="126" t="s">
        <v>212</v>
      </c>
      <c r="B3" s="126" t="str">
        <f>ChemName</f>
        <v>Chemical A</v>
      </c>
    </row>
    <row r="4" spans="1:5" x14ac:dyDescent="0.2">
      <c r="A4" s="128" t="s">
        <v>7</v>
      </c>
      <c r="B4" s="128"/>
      <c r="C4" s="128"/>
      <c r="D4" s="145"/>
      <c r="E4" s="146"/>
    </row>
    <row r="5" spans="1:5" x14ac:dyDescent="0.2">
      <c r="A5" s="129"/>
      <c r="B5" s="130" t="s">
        <v>120</v>
      </c>
      <c r="C5" s="131" t="s">
        <v>132</v>
      </c>
      <c r="D5" s="145"/>
    </row>
    <row r="6" spans="1:5" x14ac:dyDescent="0.2">
      <c r="A6" s="132" t="s">
        <v>264</v>
      </c>
      <c r="B6" s="133">
        <f>Tstandard</f>
        <v>25</v>
      </c>
      <c r="C6" s="134">
        <f>T</f>
        <v>20</v>
      </c>
      <c r="D6" s="145"/>
      <c r="E6" s="144" t="s">
        <v>215</v>
      </c>
    </row>
    <row r="7" spans="1:5" x14ac:dyDescent="0.2">
      <c r="A7" s="135" t="s">
        <v>265</v>
      </c>
      <c r="B7" s="136" t="s">
        <v>272</v>
      </c>
      <c r="C7" s="136" t="s">
        <v>272</v>
      </c>
      <c r="D7" s="145"/>
    </row>
    <row r="8" spans="1:5" s="63" customFormat="1" ht="25" customHeight="1" x14ac:dyDescent="0.15">
      <c r="A8" s="137" t="s">
        <v>125</v>
      </c>
      <c r="B8" s="138">
        <f>Sgas</f>
        <v>1.9081666750106939E-6</v>
      </c>
      <c r="C8" s="138">
        <f>SgasT</f>
        <v>1.5358899580578576E-6</v>
      </c>
      <c r="D8" s="147"/>
      <c r="E8" s="148" t="s">
        <v>18</v>
      </c>
    </row>
    <row r="9" spans="1:5" s="63" customFormat="1" ht="25" customHeight="1" x14ac:dyDescent="0.15">
      <c r="A9" s="137" t="s">
        <v>126</v>
      </c>
      <c r="B9" s="138">
        <f>Sw</f>
        <v>3.56E-2</v>
      </c>
      <c r="C9" s="138">
        <f>SwT</f>
        <v>3.1023059985808087E-2</v>
      </c>
      <c r="D9" s="147"/>
      <c r="E9" s="148" t="s">
        <v>18</v>
      </c>
    </row>
    <row r="10" spans="1:5" s="63" customFormat="1" ht="25" customHeight="1" x14ac:dyDescent="0.15">
      <c r="A10" s="137" t="s">
        <v>268</v>
      </c>
      <c r="B10" s="138">
        <f>Sw*SalCor</f>
        <v>2.5647792886784121E-2</v>
      </c>
      <c r="C10" s="138">
        <f>SwT*SalCor</f>
        <v>2.2350365652536116E-2</v>
      </c>
      <c r="D10" s="147"/>
      <c r="E10" s="148" t="s">
        <v>18</v>
      </c>
    </row>
    <row r="11" spans="1:5" s="63" customFormat="1" ht="25" customHeight="1" x14ac:dyDescent="0.15">
      <c r="A11" s="137" t="s">
        <v>127</v>
      </c>
      <c r="B11" s="138">
        <f>So</f>
        <v>662.9030206519808</v>
      </c>
      <c r="C11" s="138">
        <f>SoT</f>
        <v>577.67640939493754</v>
      </c>
      <c r="D11" s="147"/>
      <c r="E11" s="148" t="s">
        <v>18</v>
      </c>
    </row>
    <row r="12" spans="1:5" s="63" customFormat="1" ht="25" customHeight="1" x14ac:dyDescent="0.15">
      <c r="A12" s="137" t="s">
        <v>134</v>
      </c>
      <c r="B12" s="138">
        <f>Soc</f>
        <v>232.01605722819346</v>
      </c>
      <c r="C12" s="138">
        <f>SocT</f>
        <v>202.18674328822831</v>
      </c>
      <c r="D12" s="147"/>
      <c r="E12" s="148" t="s">
        <v>18</v>
      </c>
    </row>
    <row r="13" spans="1:5" s="63" customFormat="1" ht="25" customHeight="1" x14ac:dyDescent="0.15">
      <c r="A13" s="137" t="s">
        <v>210</v>
      </c>
      <c r="B13" s="138">
        <f>Slipid</f>
        <v>596.61271858678276</v>
      </c>
      <c r="C13" s="138">
        <f>SlipidT</f>
        <v>519.90876845544381</v>
      </c>
      <c r="D13" s="147"/>
      <c r="E13" s="148" t="s">
        <v>18</v>
      </c>
    </row>
    <row r="14" spans="1:5" s="63" customFormat="1" ht="25" customHeight="1" x14ac:dyDescent="0.15">
      <c r="A14" s="139" t="s">
        <v>213</v>
      </c>
      <c r="B14" s="138">
        <f>Sprotein</f>
        <v>29.830635929339156</v>
      </c>
      <c r="C14" s="138">
        <f>SproteinT</f>
        <v>25.995438422772207</v>
      </c>
      <c r="D14" s="149"/>
      <c r="E14" s="148" t="s">
        <v>18</v>
      </c>
    </row>
    <row r="15" spans="1:5" x14ac:dyDescent="0.2">
      <c r="B15" s="128"/>
      <c r="C15" s="128"/>
    </row>
    <row r="16" spans="1:5" x14ac:dyDescent="0.2">
      <c r="B16" s="128"/>
      <c r="C16" s="128"/>
    </row>
    <row r="17" spans="1:5" x14ac:dyDescent="0.2">
      <c r="A17" s="140"/>
      <c r="B17" s="130" t="s">
        <v>120</v>
      </c>
      <c r="C17" s="130" t="s">
        <v>132</v>
      </c>
    </row>
    <row r="18" spans="1:5" x14ac:dyDescent="0.2">
      <c r="A18" s="132" t="s">
        <v>266</v>
      </c>
      <c r="B18" s="133">
        <f>Tstandard</f>
        <v>25</v>
      </c>
      <c r="C18" s="133">
        <f>T</f>
        <v>20</v>
      </c>
      <c r="E18" s="144" t="s">
        <v>215</v>
      </c>
    </row>
    <row r="19" spans="1:5" x14ac:dyDescent="0.2">
      <c r="A19" s="141" t="s">
        <v>267</v>
      </c>
      <c r="B19" s="136" t="s">
        <v>272</v>
      </c>
      <c r="C19" s="136" t="s">
        <v>272</v>
      </c>
    </row>
    <row r="20" spans="1:5" s="63" customFormat="1" ht="25" customHeight="1" x14ac:dyDescent="0.15">
      <c r="A20" s="137" t="s">
        <v>129</v>
      </c>
      <c r="B20" s="138">
        <f>Sgas/Sw</f>
        <v>5.360018750030039E-5</v>
      </c>
      <c r="C20" s="138">
        <f>SgasT/SwT</f>
        <v>4.9508009808203025E-5</v>
      </c>
      <c r="D20" s="149"/>
      <c r="E20" s="148" t="s">
        <v>18</v>
      </c>
    </row>
    <row r="21" spans="1:5" s="63" customFormat="1" ht="25" customHeight="1" x14ac:dyDescent="0.15">
      <c r="A21" s="137" t="s">
        <v>269</v>
      </c>
      <c r="B21" s="138">
        <f>Sgas/(Sw*SalCor)</f>
        <v>7.4398864784733205E-5</v>
      </c>
      <c r="C21" s="138">
        <f>SgasT/(SwT*SalCor)</f>
        <v>6.8718784378526664E-5</v>
      </c>
      <c r="D21" s="149"/>
      <c r="E21" s="148" t="s">
        <v>18</v>
      </c>
    </row>
    <row r="22" spans="1:5" s="63" customFormat="1" ht="25" customHeight="1" x14ac:dyDescent="0.15">
      <c r="A22" s="137" t="s">
        <v>130</v>
      </c>
      <c r="B22" s="138">
        <f>So/Sw</f>
        <v>18620.871366628675</v>
      </c>
      <c r="C22" s="138">
        <f>SoT/SwT</f>
        <v>18620.871366628675</v>
      </c>
      <c r="D22" s="149"/>
      <c r="E22" s="148" t="s">
        <v>18</v>
      </c>
    </row>
    <row r="23" spans="1:5" s="63" customFormat="1" ht="25" customHeight="1" x14ac:dyDescent="0.15">
      <c r="A23" s="137" t="s">
        <v>270</v>
      </c>
      <c r="B23" s="138">
        <f>So/(Sw*SalCor)</f>
        <v>25846.396357698428</v>
      </c>
      <c r="C23" s="138">
        <f>SoT/(SwT*SalCor)</f>
        <v>25846.396357698428</v>
      </c>
      <c r="D23" s="149"/>
      <c r="E23" s="148" t="s">
        <v>18</v>
      </c>
    </row>
    <row r="24" spans="1:5" s="63" customFormat="1" ht="25" customHeight="1" x14ac:dyDescent="0.15">
      <c r="A24" s="137" t="s">
        <v>131</v>
      </c>
      <c r="B24" s="138">
        <f>So/Sgas</f>
        <v>347403101.27691841</v>
      </c>
      <c r="C24" s="138">
        <f>SoT/SgasT</f>
        <v>376118358.19632089</v>
      </c>
      <c r="D24" s="149"/>
      <c r="E24" s="148" t="s">
        <v>18</v>
      </c>
    </row>
    <row r="25" spans="1:5" s="63" customFormat="1" ht="25" customHeight="1" x14ac:dyDescent="0.15">
      <c r="A25" s="137" t="s">
        <v>136</v>
      </c>
      <c r="B25" s="138">
        <f>Soc/Sw</f>
        <v>6517.3049783200413</v>
      </c>
      <c r="C25" s="138">
        <f>SocT/SwT</f>
        <v>6517.3049783200413</v>
      </c>
      <c r="D25" s="149"/>
      <c r="E25" s="148" t="s">
        <v>18</v>
      </c>
    </row>
    <row r="26" spans="1:5" s="63" customFormat="1" ht="25" customHeight="1" x14ac:dyDescent="0.15">
      <c r="A26" s="137" t="s">
        <v>271</v>
      </c>
      <c r="B26" s="138">
        <f>Soc/(Sw*SalCor)</f>
        <v>9046.2387251944583</v>
      </c>
      <c r="C26" s="138">
        <f>SocT/(SwT*SalCor)</f>
        <v>9046.2387251944583</v>
      </c>
      <c r="D26" s="149"/>
      <c r="E26" s="148" t="s">
        <v>18</v>
      </c>
    </row>
    <row r="27" spans="1:5" s="63" customFormat="1" ht="25" customHeight="1" x14ac:dyDescent="0.15">
      <c r="A27" s="137" t="s">
        <v>211</v>
      </c>
      <c r="B27" s="138">
        <f>Slipid/Sw</f>
        <v>16758.784229965808</v>
      </c>
      <c r="C27" s="138">
        <f>SlipidT/SwT</f>
        <v>16758.784229965808</v>
      </c>
      <c r="D27" s="149"/>
      <c r="E27" s="148" t="s">
        <v>18</v>
      </c>
    </row>
    <row r="28" spans="1:5" s="63" customFormat="1" ht="25" customHeight="1" x14ac:dyDescent="0.15">
      <c r="A28" s="139" t="s">
        <v>214</v>
      </c>
      <c r="B28" s="142">
        <f>Sprotein/Sw</f>
        <v>837.93921149829089</v>
      </c>
      <c r="C28" s="142">
        <f>SproteinT/SwT</f>
        <v>837.93921149829089</v>
      </c>
      <c r="D28" s="149"/>
      <c r="E28" s="148" t="s">
        <v>18</v>
      </c>
    </row>
  </sheetData>
  <sheetProtection password="A2E8" sheet="1" objects="1" scenarios="1" formatCells="0"/>
  <customSheetViews>
    <customSheetView guid="{82F232E5-57E6-2D41-958D-D8709BEC5D76}" topLeftCell="A4">
      <selection activeCell="G32" sqref="G32"/>
      <pageMargins left="0.7" right="0.7" top="0.75" bottom="0.75" header="0.3" footer="0.3"/>
    </customSheetView>
  </customSheetViews>
  <phoneticPr fontId="3" type="noConversion"/>
  <pageMargins left="0.75" right="0.75" top="1" bottom="1" header="0.5" footer="0.5"/>
  <pageSetup scale="88" orientation="portrait" horizontalDpi="4294967292" verticalDpi="4294967292"/>
  <headerFooter>
    <oddHeader xml:space="preserve">&amp;C&amp;K000000Gobas, F. A. P. C. Otton, S. V., Tupper-Ring, L. F., Crawford, M.A. 2015. Thermodynamic Activity Calculator for Solid and Liquid Hydrophobic Organic Chemicals in Environmental Media: Excel Model Version 1.1. </oddHeader>
    <oddFooter>&amp;L&amp;K000000&amp;F&amp;C&amp;K000000&amp;P of &amp;N&amp;R&amp;K000000&amp;A</oddFooter>
  </headerFooter>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Introduction</vt:lpstr>
      <vt:lpstr>Chemical Input Data</vt:lpstr>
      <vt:lpstr>General Parameters</vt:lpstr>
      <vt:lpstr>Gaseous Media</vt:lpstr>
      <vt:lpstr>Aqueous Media</vt:lpstr>
      <vt:lpstr>Biological Media</vt:lpstr>
      <vt:lpstr>Particulate Media</vt:lpstr>
      <vt:lpstr>Solubility|Partition Coefficie </vt:lpstr>
    </vt:vector>
  </TitlesOfParts>
  <Company>Simon Fraser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Gobas</dc:creator>
  <cp:lastModifiedBy>Frank Gobas</cp:lastModifiedBy>
  <cp:lastPrinted>2015-12-05T14:15:37Z</cp:lastPrinted>
  <dcterms:created xsi:type="dcterms:W3CDTF">2015-11-15T22:17:07Z</dcterms:created>
  <dcterms:modified xsi:type="dcterms:W3CDTF">2016-11-30T19:09:41Z</dcterms:modified>
</cp:coreProperties>
</file>