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codeName="ThisWorkbook"/>
  <mc:AlternateContent xmlns:mc="http://schemas.openxmlformats.org/markup-compatibility/2006">
    <mc:Choice Requires="x15">
      <x15ac:absPath xmlns:x15ac="http://schemas.microsoft.com/office/spreadsheetml/2010/11/ac" url="/Volumes/TEXT Pro-Data/TEXT Pro-Data/ECO 33/ET&amp;C Paper/Latest Version/Submission/Revisions/Submission/Submission 2/ADME-B Calculator/"/>
    </mc:Choice>
  </mc:AlternateContent>
  <xr:revisionPtr revIDLastSave="0" documentId="13_ncr:1_{95B96ABF-7AD9-4F45-A889-A26C381CBE41}" xr6:coauthVersionLast="44" xr6:coauthVersionMax="44" xr10:uidLastSave="{00000000-0000-0000-0000-000000000000}"/>
  <bookViews>
    <workbookView xWindow="780" yWindow="460" windowWidth="19200" windowHeight="11600" xr2:uid="{00000000-000D-0000-FFFF-FFFF00000000}"/>
  </bookViews>
  <sheets>
    <sheet name="Introduction" sheetId="16" r:id="rId1"/>
    <sheet name="Data Worksheet" sheetId="13" r:id="rId2"/>
    <sheet name="ADME Profiler" sheetId="15" r:id="rId3"/>
    <sheet name="B Potential" sheetId="17" r:id="rId4"/>
    <sheet name="Standard Error Calculations" sheetId="14" r:id="rId5"/>
  </sheets>
  <definedNames>
    <definedName name="BCFBAF.f">'ADME Profiler'!$E$73</definedName>
    <definedName name="BCFBAF.t">'ADME Profiler'!$C$72</definedName>
    <definedName name="BE.f">'ADME Profiler'!$F$65</definedName>
    <definedName name="BE.t" localSheetId="2">'ADME Profiler'!$D$65</definedName>
    <definedName name="BG.f">'ADME Profiler'!$F$53</definedName>
    <definedName name="BG.kGB.f">'ADME Profiler'!$F$54</definedName>
    <definedName name="BG.kGB.t" localSheetId="2">'ADME Profiler'!$D$54</definedName>
    <definedName name="BG.kGE.f">'ADME Profiler'!$F$55</definedName>
    <definedName name="BG.kGE.t" localSheetId="2">'ADME Profiler'!$D$55</definedName>
    <definedName name="BG.kGM.f">'ADME Profiler'!$F$56</definedName>
    <definedName name="BG.kGM.t" localSheetId="2">'ADME Profiler'!$D$56</definedName>
    <definedName name="BG.t" localSheetId="2">'ADME Profiler'!$D$53</definedName>
    <definedName name="BM.f">'ADME Profiler'!$F$62</definedName>
    <definedName name="BM.t" localSheetId="2">'ADME Profiler'!$D$62</definedName>
    <definedName name="FI.f">'ADME Profiler'!$F$44</definedName>
    <definedName name="FI.kGB.f">'ADME Profiler'!$F$45</definedName>
    <definedName name="FI.kGB.t" localSheetId="2">'ADME Profiler'!$D$45</definedName>
    <definedName name="FI.kGE.f">'ADME Profiler'!$F$46</definedName>
    <definedName name="FI.kGE.t" localSheetId="2">'ADME Profiler'!$D$46</definedName>
    <definedName name="FI.kGM.f">'ADME Profiler'!$F$47</definedName>
    <definedName name="FI.kGM.t" localSheetId="2">'ADME Profiler'!$D$47</definedName>
    <definedName name="FI.t" localSheetId="2">'ADME Profiler'!$D$44</definedName>
    <definedName name="GB.f">'ADME Profiler'!$F$57</definedName>
    <definedName name="GB.kB2.f">'ADME Profiler'!$F$59</definedName>
    <definedName name="GB.kB2.t" localSheetId="2">'ADME Profiler'!$D$59</definedName>
    <definedName name="GB.kBG.f">'ADME Profiler'!$F$58</definedName>
    <definedName name="GB.kBG.t" localSheetId="2">'ADME Profiler'!$D$58</definedName>
    <definedName name="GB.kBM.f">'ADME Profiler'!$F$60</definedName>
    <definedName name="GB.kBM.t" localSheetId="2">'ADME Profiler'!$D$60</definedName>
    <definedName name="GB.t" localSheetId="2">'ADME Profiler'!$D$57</definedName>
    <definedName name="GD.f">'ADME Profiler'!$F$67</definedName>
    <definedName name="GD.t" localSheetId="2">'ADME Profiler'!$D$67</definedName>
    <definedName name="GE.f">'ADME Profiler'!$F$66</definedName>
    <definedName name="GE.t" localSheetId="2">'ADME Profiler'!$D$66</definedName>
    <definedName name="GM.f">'ADME Profiler'!$F$63</definedName>
    <definedName name="GM.t" localSheetId="2">'ADME Profiler'!$D$63</definedName>
    <definedName name="GU.f">'ADME Profiler'!$F$48</definedName>
    <definedName name="GU.kB2.f">'ADME Profiler'!$F$49</definedName>
    <definedName name="GU.kB2.t" localSheetId="2">'ADME Profiler'!$D$49</definedName>
    <definedName name="GU.kBG.f">'ADME Profiler'!$F$50</definedName>
    <definedName name="GU.kBG.t" localSheetId="2">'ADME Profiler'!$D$50</definedName>
    <definedName name="GU.kBM.f">'ADME Profiler'!$F$51</definedName>
    <definedName name="GU.kBM.t" localSheetId="2">'ADME Profiler'!$D$51</definedName>
    <definedName name="GU.t" localSheetId="2">'ADME Profiler'!$D$48</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51" i="13" l="1"/>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I124" i="13" l="1"/>
  <c r="D124" i="13" s="1"/>
  <c r="I123" i="13"/>
  <c r="D123" i="13" s="1"/>
  <c r="H26" i="13"/>
  <c r="H27" i="13"/>
  <c r="H28" i="13"/>
  <c r="H29" i="13"/>
  <c r="H30" i="13"/>
  <c r="H31" i="13"/>
  <c r="H32" i="13"/>
  <c r="H33" i="13"/>
  <c r="H34" i="13"/>
  <c r="H35" i="13"/>
  <c r="H36" i="13"/>
  <c r="H37" i="13"/>
  <c r="H38" i="13"/>
  <c r="H39" i="13"/>
  <c r="H40" i="13"/>
  <c r="H41" i="13"/>
  <c r="H42" i="13"/>
  <c r="H43" i="13"/>
  <c r="H44" i="13"/>
  <c r="H45" i="13"/>
  <c r="H46" i="13"/>
  <c r="H47" i="13"/>
  <c r="H48" i="13"/>
  <c r="H49" i="13"/>
  <c r="H50" i="13"/>
  <c r="C124" i="13"/>
  <c r="C123" i="13"/>
  <c r="C122" i="13"/>
  <c r="C121" i="13"/>
  <c r="C120" i="13"/>
  <c r="J100" i="13"/>
  <c r="D170" i="13"/>
  <c r="C12" i="15"/>
  <c r="D21" i="14"/>
  <c r="D23" i="14"/>
  <c r="D13" i="14"/>
  <c r="D15" i="14"/>
  <c r="D163" i="13"/>
  <c r="I106" i="13" s="1"/>
  <c r="D106" i="13" s="1"/>
  <c r="D114" i="13"/>
  <c r="D108" i="13"/>
  <c r="D115" i="13"/>
  <c r="D161" i="13"/>
  <c r="D117" i="13"/>
  <c r="D14" i="14"/>
  <c r="D16" i="14"/>
  <c r="D17" i="14"/>
  <c r="D22" i="14"/>
  <c r="D24" i="14"/>
  <c r="D25" i="14"/>
  <c r="D109" i="13"/>
  <c r="D162" i="13"/>
  <c r="D176" i="13" s="1"/>
  <c r="D110" i="13"/>
  <c r="D103" i="13"/>
  <c r="D164" i="13" s="1"/>
  <c r="I107" i="13"/>
  <c r="D107" i="13" s="1"/>
  <c r="D5" i="14"/>
  <c r="D7" i="14"/>
  <c r="D6" i="14"/>
  <c r="D8" i="14"/>
  <c r="D9" i="14"/>
  <c r="E138" i="13"/>
  <c r="D113" i="13"/>
  <c r="D116" i="13"/>
  <c r="D112" i="13"/>
  <c r="D167" i="13"/>
  <c r="C100" i="13"/>
  <c r="C99" i="13"/>
  <c r="C98" i="13"/>
  <c r="I21" i="13"/>
  <c r="I100" i="13"/>
  <c r="D105" i="13" l="1"/>
  <c r="D127" i="13"/>
  <c r="D160" i="13"/>
  <c r="D149" i="13"/>
  <c r="D154" i="13" s="1"/>
  <c r="D33" i="14"/>
  <c r="D155" i="13"/>
  <c r="E44" i="15"/>
  <c r="I120" i="13"/>
  <c r="D120" i="13" s="1"/>
  <c r="C44" i="15"/>
  <c r="D168" i="13"/>
  <c r="D178" i="13"/>
  <c r="D179" i="13"/>
  <c r="D177" i="13"/>
  <c r="D180" i="13"/>
  <c r="I121" i="13"/>
  <c r="D121" i="13" s="1"/>
  <c r="D175" i="13"/>
  <c r="D148" i="13"/>
  <c r="D104" i="13"/>
  <c r="D37" i="14"/>
  <c r="J121" i="13"/>
  <c r="E121" i="13" s="1"/>
  <c r="J120" i="13"/>
  <c r="E120" i="13" s="1"/>
  <c r="D32" i="14"/>
  <c r="D165" i="13"/>
  <c r="D73" i="14" s="1"/>
  <c r="D49" i="14" l="1"/>
  <c r="D84" i="14"/>
  <c r="D138" i="13"/>
  <c r="D98" i="14"/>
  <c r="E127" i="13" s="1"/>
  <c r="D80" i="14"/>
  <c r="D61" i="14"/>
  <c r="D71" i="14"/>
  <c r="D53" i="14"/>
  <c r="D56" i="14"/>
  <c r="D62" i="14"/>
  <c r="D52" i="14"/>
  <c r="D48" i="14"/>
  <c r="D150" i="13"/>
  <c r="C9" i="15"/>
  <c r="D90" i="14" s="1"/>
  <c r="D89" i="14"/>
  <c r="D131" i="13"/>
  <c r="D82" i="14"/>
  <c r="D81" i="14"/>
  <c r="G121" i="13"/>
  <c r="D83" i="14"/>
  <c r="D88" i="14"/>
  <c r="D59" i="14"/>
  <c r="D50" i="14"/>
  <c r="D68" i="14"/>
  <c r="D65" i="14"/>
  <c r="D87" i="14"/>
  <c r="D74" i="14"/>
  <c r="D72" i="14"/>
  <c r="D85" i="14"/>
  <c r="D134" i="13"/>
  <c r="D91" i="14"/>
  <c r="D35" i="14"/>
  <c r="D30" i="14"/>
  <c r="D31" i="14"/>
  <c r="D77" i="14"/>
  <c r="D36" i="14"/>
  <c r="D79" i="14"/>
  <c r="D78" i="14"/>
  <c r="D129" i="13"/>
  <c r="D29" i="14"/>
  <c r="D34" i="14"/>
  <c r="D28" i="14"/>
  <c r="G120" i="13"/>
  <c r="D86" i="14"/>
  <c r="D51" i="14"/>
  <c r="D137" i="13"/>
  <c r="D166" i="13"/>
  <c r="D41" i="14" s="1"/>
  <c r="D97" i="14"/>
  <c r="E131" i="13" s="1"/>
  <c r="I122" i="13"/>
  <c r="D122" i="13" s="1"/>
  <c r="D47" i="14"/>
  <c r="D60" i="14"/>
  <c r="D44" i="14" l="1"/>
  <c r="D54" i="14"/>
  <c r="D105" i="14"/>
  <c r="E137" i="13" s="1"/>
  <c r="D40" i="14"/>
  <c r="D42" i="14"/>
  <c r="D75" i="14"/>
  <c r="D43" i="14"/>
  <c r="D64" i="14"/>
  <c r="D63" i="14"/>
  <c r="D111" i="14"/>
  <c r="D112" i="14" s="1"/>
  <c r="D102" i="14"/>
  <c r="E134" i="13" s="1"/>
  <c r="D96" i="14"/>
  <c r="E130" i="13" s="1"/>
  <c r="D135" i="13"/>
  <c r="D128" i="13" s="1"/>
  <c r="D136" i="13" s="1"/>
  <c r="D38" i="14"/>
  <c r="D39" i="14"/>
  <c r="D67" i="14"/>
  <c r="D55" i="14"/>
  <c r="D66" i="14"/>
  <c r="D58" i="14"/>
  <c r="D76" i="14"/>
  <c r="D109" i="14"/>
  <c r="D132" i="13"/>
  <c r="D95" i="14"/>
  <c r="E129" i="13" s="1"/>
  <c r="D70" i="14"/>
  <c r="D140" i="13"/>
  <c r="C45" i="15" s="1"/>
  <c r="D141" i="13"/>
  <c r="D142" i="13" s="1"/>
  <c r="D45" i="14"/>
  <c r="D46" i="14"/>
  <c r="D130" i="13"/>
  <c r="D107" i="14" l="1"/>
  <c r="E139" i="13" s="1"/>
  <c r="D139" i="13"/>
  <c r="D100" i="14"/>
  <c r="D101" i="14" s="1"/>
  <c r="E133" i="13" s="1"/>
  <c r="D104" i="14"/>
  <c r="E136" i="13" s="1"/>
  <c r="E143" i="13"/>
  <c r="D72" i="15" s="1"/>
  <c r="F136" i="13"/>
  <c r="D103" i="14"/>
  <c r="E135" i="13" s="1"/>
  <c r="D110" i="14"/>
  <c r="E142" i="13" s="1"/>
  <c r="C7" i="17" s="1"/>
  <c r="D7" i="17" s="1"/>
  <c r="E141" i="13"/>
  <c r="D108" i="14"/>
  <c r="E140" i="13" s="1"/>
  <c r="D151" i="13"/>
  <c r="C53" i="15" s="1"/>
  <c r="C48" i="15"/>
  <c r="C51" i="15" s="1"/>
  <c r="D51" i="15" s="1"/>
  <c r="C10" i="15"/>
  <c r="E62" i="15" s="1"/>
  <c r="E73" i="15"/>
  <c r="C72" i="15"/>
  <c r="E48" i="15"/>
  <c r="E49" i="15" s="1"/>
  <c r="F49" i="15" s="1"/>
  <c r="D143" i="13"/>
  <c r="D144" i="13" s="1"/>
  <c r="D145" i="13" s="1"/>
  <c r="D133" i="13"/>
  <c r="D92" i="14"/>
  <c r="C49" i="15"/>
  <c r="D49" i="15" s="1"/>
  <c r="D99" i="14"/>
  <c r="E128" i="13" s="1"/>
  <c r="C47" i="15"/>
  <c r="E47" i="15"/>
  <c r="F140" i="13"/>
  <c r="C46" i="15"/>
  <c r="E46" i="15"/>
  <c r="E45" i="15"/>
  <c r="E144" i="13"/>
  <c r="D113" i="14"/>
  <c r="E145" i="13" s="1"/>
  <c r="D46" i="15" l="1"/>
  <c r="D45" i="15"/>
  <c r="F62" i="15"/>
  <c r="E132" i="13"/>
  <c r="D114" i="14"/>
  <c r="F73" i="15" s="1"/>
  <c r="D47" i="15"/>
  <c r="C11" i="15"/>
  <c r="E63" i="15" s="1"/>
  <c r="F63" i="15" s="1"/>
  <c r="D53" i="15"/>
  <c r="C56" i="15"/>
  <c r="D56" i="15" s="1"/>
  <c r="E51" i="15"/>
  <c r="F51" i="15" s="1"/>
  <c r="F47" i="15"/>
  <c r="E53" i="15"/>
  <c r="F45" i="15"/>
  <c r="E67" i="15"/>
  <c r="F67" i="15" s="1"/>
  <c r="E65" i="15"/>
  <c r="F65" i="15" s="1"/>
  <c r="F46" i="15"/>
  <c r="D48" i="15"/>
  <c r="D44" i="15"/>
  <c r="C50" i="15"/>
  <c r="D50" i="15" s="1"/>
  <c r="C54" i="15"/>
  <c r="D54" i="15" s="1"/>
  <c r="C8" i="17"/>
  <c r="D8" i="17" s="1"/>
  <c r="C9" i="17"/>
  <c r="D9" i="17" s="1"/>
  <c r="C55" i="15"/>
  <c r="D55" i="15" s="1"/>
  <c r="D153" i="13"/>
  <c r="C67" i="15"/>
  <c r="D67" i="15" s="1"/>
  <c r="D156" i="13"/>
  <c r="C65" i="15"/>
  <c r="D65" i="15" s="1"/>
  <c r="F48" i="15"/>
  <c r="F44" i="15"/>
  <c r="E50" i="15"/>
  <c r="F50" i="15" s="1"/>
  <c r="C62" i="15"/>
  <c r="D62" i="15" s="1"/>
  <c r="E66" i="15" l="1"/>
  <c r="F66" i="15" s="1"/>
  <c r="E57" i="15"/>
  <c r="E60" i="15" s="1"/>
  <c r="F60" i="15" s="1"/>
  <c r="D157" i="13"/>
  <c r="F53" i="15"/>
  <c r="E54" i="15"/>
  <c r="F54" i="15" s="1"/>
  <c r="E55" i="15"/>
  <c r="F55" i="15" s="1"/>
  <c r="E56" i="15"/>
  <c r="F56" i="15" s="1"/>
  <c r="E58" i="15" l="1"/>
  <c r="F58" i="15" s="1"/>
  <c r="F57" i="15"/>
  <c r="E59" i="15"/>
  <c r="F59" i="15" s="1"/>
  <c r="D152" i="13"/>
  <c r="D159" i="13"/>
  <c r="D158" i="13"/>
  <c r="C66" i="15" l="1"/>
  <c r="D66" i="15" s="1"/>
  <c r="C57" i="15"/>
  <c r="C63" i="15"/>
  <c r="D63" i="15" s="1"/>
  <c r="D57" i="15" l="1"/>
  <c r="C60" i="15"/>
  <c r="D60" i="15" s="1"/>
  <c r="C59" i="15"/>
  <c r="D59" i="15" s="1"/>
  <c r="C58" i="15"/>
  <c r="D58"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Frank Gobas</author>
    <author>Shing Wang</author>
  </authors>
  <commentList>
    <comment ref="A3" authorId="0" shapeId="0" xr:uid="{00000000-0006-0000-0100-000001000000}">
      <text>
        <r>
          <rPr>
            <b/>
            <sz val="10"/>
            <color indexed="81"/>
            <rFont val="Calibri"/>
            <family val="2"/>
          </rPr>
          <t>Enter information on the properties of the chemical listed below.  If information is not available, some bioaccumulation metrics cannot be determined.</t>
        </r>
      </text>
    </comment>
    <comment ref="A22" authorId="0" shapeId="0" xr:uid="{00000000-0006-0000-0100-000002000000}">
      <text>
        <r>
          <rPr>
            <b/>
            <sz val="10"/>
            <color rgb="FF000000"/>
            <rFont val="Calibri"/>
            <family val="2"/>
          </rPr>
          <t>Frank Gobas:</t>
        </r>
        <r>
          <rPr>
            <sz val="10"/>
            <color rgb="FF000000"/>
            <rFont val="Calibri"/>
            <family val="2"/>
          </rPr>
          <t xml:space="preserve">
</t>
        </r>
        <r>
          <rPr>
            <sz val="10"/>
            <color rgb="FF000000"/>
            <rFont val="Calibri"/>
            <family val="2"/>
          </rPr>
          <t xml:space="preserve">The dietary assimilation efficiency is the fraction of the mass of the administered food that is absorbed by the test organism.
</t>
        </r>
        <r>
          <rPr>
            <sz val="10"/>
            <color rgb="FF000000"/>
            <rFont val="Calibri"/>
            <family val="2"/>
          </rPr>
          <t xml:space="preserve">The dietary assimilation efficiency applies to the food, not the chemical. It can be measured using unabsorbable tracers to the food. E.g. chromic oxide is often used for this purpose. E.g., see 
</t>
        </r>
        <r>
          <rPr>
            <sz val="10"/>
            <color rgb="FF000000"/>
            <rFont val="Calibri"/>
            <family val="2"/>
          </rPr>
          <t xml:space="preserve">
</t>
        </r>
        <r>
          <rPr>
            <sz val="10"/>
            <color rgb="FF000000"/>
            <rFont val="Calibri"/>
            <family val="2"/>
          </rPr>
          <t xml:space="preserve">Gobas, F.A.P.C.,J.W.B. Wilcockson, R.W. Russell and G.D. Haffner. 1999. Mechanism of Biomagnification in Fish under Laboratory and Field Conditions. Environ. Sci. Technol. 33: 133-141. </t>
        </r>
      </text>
    </comment>
    <comment ref="A25" authorId="0" shapeId="0" xr:uid="{00000000-0006-0000-0100-000003000000}">
      <text>
        <r>
          <rPr>
            <b/>
            <sz val="10"/>
            <color rgb="FF000000"/>
            <rFont val="Calibri"/>
            <family val="2"/>
          </rPr>
          <t>Frank Gobas:</t>
        </r>
        <r>
          <rPr>
            <sz val="10"/>
            <color rgb="FF000000"/>
            <rFont val="Calibri"/>
            <family val="2"/>
          </rPr>
          <t xml:space="preserve">
</t>
        </r>
        <r>
          <rPr>
            <sz val="10"/>
            <color rgb="FF000000"/>
            <rFont val="Calibri"/>
            <family val="2"/>
          </rPr>
          <t xml:space="preserve">Conduct a simple linear regression of the concentrations of the test chemical in the fish vs. time using the data from the depuration phase of the dietary bioaccumulation test. Use the following equation.:
</t>
        </r>
        <r>
          <rPr>
            <sz val="10"/>
            <color rgb="FF000000"/>
            <rFont val="Calibri"/>
            <family val="2"/>
          </rPr>
          <t xml:space="preserve">
</t>
        </r>
        <r>
          <rPr>
            <sz val="10"/>
            <color rgb="FF000000"/>
            <rFont val="Calibri"/>
            <family val="2"/>
          </rPr>
          <t xml:space="preserve">lnCB = b0+b1*t
</t>
        </r>
        <r>
          <rPr>
            <sz val="10"/>
            <color rgb="FF000000"/>
            <rFont val="Calibri"/>
            <family val="2"/>
          </rPr>
          <t xml:space="preserve">
</t>
        </r>
        <r>
          <rPr>
            <sz val="10"/>
            <color rgb="FF000000"/>
            <rFont val="Calibri"/>
            <family val="2"/>
          </rPr>
          <t xml:space="preserve">where 
</t>
        </r>
        <r>
          <rPr>
            <sz val="10"/>
            <color rgb="FF000000"/>
            <rFont val="Calibri"/>
            <family val="2"/>
          </rPr>
          <t xml:space="preserve">
</t>
        </r>
        <r>
          <rPr>
            <sz val="10"/>
            <color rgb="FF000000"/>
            <rFont val="Calibri"/>
            <family val="2"/>
          </rPr>
          <t xml:space="preserve">CB: concentration of the chemical in the body of the fish (g/kg ww)
</t>
        </r>
        <r>
          <rPr>
            <sz val="10"/>
            <color rgb="FF000000"/>
            <rFont val="Calibri"/>
            <family val="2"/>
          </rPr>
          <t xml:space="preserve">t: time in the depuration phase (d)
</t>
        </r>
        <r>
          <rPr>
            <sz val="10"/>
            <color rgb="FF000000"/>
            <rFont val="Calibri"/>
            <family val="2"/>
          </rPr>
          <t xml:space="preserve">b0: regression coefficient of the intercept
</t>
        </r>
        <r>
          <rPr>
            <sz val="10"/>
            <color rgb="FF000000"/>
            <rFont val="Calibri"/>
            <family val="2"/>
          </rPr>
          <t xml:space="preserve">b1: regression coefficient of the slope
</t>
        </r>
        <r>
          <rPr>
            <sz val="10"/>
            <color rgb="FF000000"/>
            <rFont val="Calibri"/>
            <family val="2"/>
          </rPr>
          <t xml:space="preserve">
</t>
        </r>
        <r>
          <rPr>
            <sz val="10"/>
            <color rgb="FF000000"/>
            <rFont val="Calibri"/>
            <family val="2"/>
          </rPr>
          <t>Then enter the information from this regressions in the cells below.</t>
        </r>
      </text>
    </comment>
    <comment ref="G120" authorId="1" shapeId="0" xr:uid="{00000000-0006-0000-0100-000004000000}">
      <text>
        <r>
          <rPr>
            <b/>
            <sz val="9"/>
            <color indexed="81"/>
            <rFont val="Tahoma"/>
            <family val="2"/>
          </rPr>
          <t>user:</t>
        </r>
        <r>
          <rPr>
            <sz val="9"/>
            <color indexed="81"/>
            <rFont val="Tahoma"/>
            <family val="2"/>
          </rPr>
          <t xml:space="preserve">
Test whether b0 is significantly different from zero (2-sided t-test)</t>
        </r>
      </text>
    </comment>
    <comment ref="G121" authorId="1" shapeId="0" xr:uid="{00000000-0006-0000-0100-000005000000}">
      <text>
        <r>
          <rPr>
            <b/>
            <sz val="9"/>
            <color indexed="81"/>
            <rFont val="Tahoma"/>
            <family val="2"/>
          </rPr>
          <t>user:</t>
        </r>
        <r>
          <rPr>
            <sz val="9"/>
            <color indexed="81"/>
            <rFont val="Tahoma"/>
            <family val="2"/>
          </rPr>
          <t xml:space="preserve">
Test whether b1 is significantly different from zero (2-sided t-test)</t>
        </r>
      </text>
    </comment>
    <comment ref="F136" authorId="1" shapeId="0" xr:uid="{00000000-0006-0000-0100-000006000000}">
      <text>
        <r>
          <rPr>
            <b/>
            <sz val="9"/>
            <color rgb="FF000000"/>
            <rFont val="Tahoma"/>
            <family val="2"/>
          </rPr>
          <t>user:</t>
        </r>
        <r>
          <rPr>
            <sz val="9"/>
            <color rgb="FF000000"/>
            <rFont val="Tahoma"/>
            <family val="2"/>
          </rPr>
          <t xml:space="preserve">
</t>
        </r>
        <r>
          <rPr>
            <sz val="9"/>
            <color rgb="FF000000"/>
            <rFont val="Tahoma"/>
            <family val="2"/>
          </rPr>
          <t>If "ID" appears it indicates that the value is indeterminable by the model.</t>
        </r>
      </text>
    </comment>
    <comment ref="F140" authorId="1" shapeId="0" xr:uid="{00000000-0006-0000-0100-000007000000}">
      <text>
        <r>
          <rPr>
            <b/>
            <sz val="9"/>
            <color indexed="81"/>
            <rFont val="Tahoma"/>
            <family val="2"/>
          </rPr>
          <t>user:</t>
        </r>
        <r>
          <rPr>
            <sz val="9"/>
            <color indexed="81"/>
            <rFont val="Tahoma"/>
            <family val="2"/>
          </rPr>
          <t xml:space="preserve">
If "ID" appears it indicates that the value is indeterminable by the model.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yslee</author>
  </authors>
  <commentList>
    <comment ref="F13" authorId="0" shapeId="0" xr:uid="{00000000-0006-0000-0400-000001000000}">
      <text>
        <r>
          <rPr>
            <b/>
            <sz val="9"/>
            <color indexed="81"/>
            <rFont val="Tahoma"/>
            <family val="2"/>
          </rPr>
          <t>user:</t>
        </r>
        <r>
          <rPr>
            <sz val="9"/>
            <color indexed="81"/>
            <rFont val="Tahoma"/>
            <family val="2"/>
          </rPr>
          <t xml:space="preserve">
Default value obtained by re-analyzing data in Gobas &amp; Mackay 1987 using nonlinear regression analysis</t>
        </r>
      </text>
    </comment>
    <comment ref="F14" authorId="0" shapeId="0" xr:uid="{00000000-0006-0000-0400-000002000000}">
      <text>
        <r>
          <rPr>
            <b/>
            <sz val="9"/>
            <color indexed="81"/>
            <rFont val="Tahoma"/>
            <family val="2"/>
          </rPr>
          <t>user:</t>
        </r>
        <r>
          <rPr>
            <sz val="9"/>
            <color indexed="81"/>
            <rFont val="Tahoma"/>
            <family val="2"/>
          </rPr>
          <t xml:space="preserve">
Default value obtained by re-analyzing data in Gobas &amp; Mackay 1987 using nonlinear regression analysis</t>
        </r>
      </text>
    </comment>
    <comment ref="F15" authorId="0" shapeId="0" xr:uid="{00000000-0006-0000-0400-000003000000}">
      <text>
        <r>
          <rPr>
            <b/>
            <sz val="9"/>
            <color indexed="81"/>
            <rFont val="Tahoma"/>
            <family val="2"/>
          </rPr>
          <t>user:</t>
        </r>
        <r>
          <rPr>
            <sz val="9"/>
            <color indexed="81"/>
            <rFont val="Tahoma"/>
            <family val="2"/>
          </rPr>
          <t xml:space="preserve">
Default value obtained by re-analyzing data in Gobas &amp; Mackay 1987 using nonlinear regression analysis</t>
        </r>
      </text>
    </comment>
    <comment ref="F16" authorId="0" shapeId="0" xr:uid="{00000000-0006-0000-0400-000004000000}">
      <text>
        <r>
          <rPr>
            <b/>
            <sz val="9"/>
            <color indexed="81"/>
            <rFont val="Tahoma"/>
            <family val="2"/>
          </rPr>
          <t>user:</t>
        </r>
        <r>
          <rPr>
            <sz val="9"/>
            <color indexed="81"/>
            <rFont val="Tahoma"/>
            <family val="2"/>
          </rPr>
          <t xml:space="preserve">
Default value obtained by re-analyzing data in Gobas &amp; Mackay 1987 using nonlinear regression analysis</t>
        </r>
      </text>
    </comment>
    <comment ref="F17" authorId="0" shapeId="0" xr:uid="{00000000-0006-0000-0400-000005000000}">
      <text>
        <r>
          <rPr>
            <b/>
            <sz val="9"/>
            <color indexed="81"/>
            <rFont val="Tahoma"/>
            <family val="2"/>
          </rPr>
          <t>user:</t>
        </r>
        <r>
          <rPr>
            <sz val="9"/>
            <color indexed="81"/>
            <rFont val="Tahoma"/>
            <family val="2"/>
          </rPr>
          <t xml:space="preserve">
Default value obtained by re-analyzing data in Gobas &amp; Mackay 1987 using nonlinear regression analysis</t>
        </r>
      </text>
    </comment>
    <comment ref="F21" authorId="0" shapeId="0" xr:uid="{00000000-0006-0000-0400-000006000000}">
      <text>
        <r>
          <rPr>
            <b/>
            <sz val="9"/>
            <color indexed="81"/>
            <rFont val="Tahoma"/>
            <family val="2"/>
          </rPr>
          <t>user:</t>
        </r>
        <r>
          <rPr>
            <sz val="9"/>
            <color indexed="81"/>
            <rFont val="Tahoma"/>
            <family val="2"/>
          </rPr>
          <t xml:space="preserve">
data selected under routine and active metabolic conditions</t>
        </r>
      </text>
    </comment>
    <comment ref="F22" authorId="0" shapeId="0" xr:uid="{00000000-0006-0000-0400-000007000000}">
      <text>
        <r>
          <rPr>
            <b/>
            <sz val="9"/>
            <color indexed="81"/>
            <rFont val="Tahoma"/>
            <family val="2"/>
          </rPr>
          <t>user:</t>
        </r>
        <r>
          <rPr>
            <sz val="9"/>
            <color indexed="81"/>
            <rFont val="Tahoma"/>
            <family val="2"/>
          </rPr>
          <t xml:space="preserve">
data selected under routine and active metabolic conditions</t>
        </r>
      </text>
    </comment>
    <comment ref="F23" authorId="0" shapeId="0" xr:uid="{00000000-0006-0000-0400-000008000000}">
      <text>
        <r>
          <rPr>
            <b/>
            <sz val="9"/>
            <color indexed="81"/>
            <rFont val="Tahoma"/>
            <family val="2"/>
          </rPr>
          <t>user:</t>
        </r>
        <r>
          <rPr>
            <sz val="9"/>
            <color indexed="81"/>
            <rFont val="Tahoma"/>
            <family val="2"/>
          </rPr>
          <t xml:space="preserve">
data selected under routine and active metabolic conditions</t>
        </r>
      </text>
    </comment>
    <comment ref="F24" authorId="0" shapeId="0" xr:uid="{00000000-0006-0000-0400-000009000000}">
      <text>
        <r>
          <rPr>
            <b/>
            <sz val="9"/>
            <color indexed="81"/>
            <rFont val="Tahoma"/>
            <family val="2"/>
          </rPr>
          <t>user:</t>
        </r>
        <r>
          <rPr>
            <sz val="9"/>
            <color indexed="81"/>
            <rFont val="Tahoma"/>
            <family val="2"/>
          </rPr>
          <t xml:space="preserve">
data selected under routine and active metabolic conditions</t>
        </r>
      </text>
    </comment>
    <comment ref="F25" authorId="0" shapeId="0" xr:uid="{00000000-0006-0000-0400-00000A000000}">
      <text>
        <r>
          <rPr>
            <b/>
            <sz val="9"/>
            <color indexed="81"/>
            <rFont val="Tahoma"/>
            <family val="2"/>
          </rPr>
          <t>user:</t>
        </r>
        <r>
          <rPr>
            <sz val="9"/>
            <color indexed="81"/>
            <rFont val="Tahoma"/>
            <family val="2"/>
          </rPr>
          <t xml:space="preserve">
data selected under routine and active metabolic conditions</t>
        </r>
      </text>
    </comment>
    <comment ref="A87" authorId="0" shapeId="0" xr:uid="{00000000-0006-0000-0400-00000B000000}">
      <text>
        <r>
          <rPr>
            <sz val="9"/>
            <color indexed="81"/>
            <rFont val="Tahoma"/>
            <family val="2"/>
          </rPr>
          <t>Reference chemicals used = "Yes"</t>
        </r>
      </text>
    </comment>
    <comment ref="A88" authorId="0" shapeId="0" xr:uid="{00000000-0006-0000-0400-00000C000000}">
      <text>
        <r>
          <rPr>
            <sz val="9"/>
            <color indexed="81"/>
            <rFont val="Tahoma"/>
            <family val="2"/>
          </rPr>
          <t xml:space="preserve">Reference chemicals used = "Yes"
</t>
        </r>
      </text>
    </comment>
  </commentList>
</comments>
</file>

<file path=xl/sharedStrings.xml><?xml version="1.0" encoding="utf-8"?>
<sst xmlns="http://schemas.openxmlformats.org/spreadsheetml/2006/main" count="1472" uniqueCount="717">
  <si>
    <t>Category</t>
  </si>
  <si>
    <t>Symbol</t>
  </si>
  <si>
    <t>Action</t>
  </si>
  <si>
    <t>Value</t>
  </si>
  <si>
    <t>Standard Error</t>
  </si>
  <si>
    <t>Unit</t>
  </si>
  <si>
    <t>Default Value</t>
  </si>
  <si>
    <t>Equation/Source</t>
  </si>
  <si>
    <t>Chemical name</t>
  </si>
  <si>
    <t>NA</t>
  </si>
  <si>
    <t>Logarithm of octanol-water partition coefficient</t>
  </si>
  <si>
    <r>
      <t>log K</t>
    </r>
    <r>
      <rPr>
        <vertAlign val="subscript"/>
        <sz val="10"/>
        <rFont val="Calibri"/>
        <family val="2"/>
      </rPr>
      <t>OW</t>
    </r>
  </si>
  <si>
    <t>Unitless</t>
  </si>
  <si>
    <r>
      <t>log K</t>
    </r>
    <r>
      <rPr>
        <vertAlign val="subscript"/>
        <sz val="10"/>
        <rFont val="Calibri"/>
        <family val="2"/>
      </rPr>
      <t>OC</t>
    </r>
  </si>
  <si>
    <t>Change if required</t>
  </si>
  <si>
    <t>Logarithm of protein-water partition coefficient</t>
  </si>
  <si>
    <r>
      <t>log K</t>
    </r>
    <r>
      <rPr>
        <vertAlign val="subscript"/>
        <sz val="10"/>
        <rFont val="Calibri"/>
        <family val="2"/>
      </rPr>
      <t>PW</t>
    </r>
  </si>
  <si>
    <t>deBruyn &amp; Gobas 2007</t>
  </si>
  <si>
    <r>
      <t>log K</t>
    </r>
    <r>
      <rPr>
        <vertAlign val="subscript"/>
        <sz val="10"/>
        <rFont val="Calibri"/>
        <family val="2"/>
      </rPr>
      <t>NW</t>
    </r>
  </si>
  <si>
    <t>Dietary chemical uptake efficiency</t>
  </si>
  <si>
    <t>Rate constant for depuration</t>
  </si>
  <si>
    <r>
      <t>k</t>
    </r>
    <r>
      <rPr>
        <vertAlign val="subscript"/>
        <sz val="10"/>
        <rFont val="Calibri"/>
        <family val="2"/>
      </rPr>
      <t>BT</t>
    </r>
  </si>
  <si>
    <t>1/d</t>
  </si>
  <si>
    <t>Rate constant for growth dilution</t>
  </si>
  <si>
    <r>
      <t>k</t>
    </r>
    <r>
      <rPr>
        <vertAlign val="subscript"/>
        <sz val="10"/>
        <rFont val="Calibri"/>
        <family val="2"/>
      </rPr>
      <t>GD</t>
    </r>
  </si>
  <si>
    <t>Dietary absorption efficiency of the reference chemical</t>
  </si>
  <si>
    <t>Rate constant for depuration of the reference chemical</t>
  </si>
  <si>
    <r>
      <t>k</t>
    </r>
    <r>
      <rPr>
        <vertAlign val="subscript"/>
        <sz val="10"/>
        <rFont val="Calibri"/>
        <family val="2"/>
      </rPr>
      <t>BT,R</t>
    </r>
  </si>
  <si>
    <t>Fish body weight</t>
  </si>
  <si>
    <r>
      <t>W</t>
    </r>
    <r>
      <rPr>
        <vertAlign val="subscript"/>
        <sz val="10"/>
        <rFont val="Calibri"/>
        <family val="2"/>
      </rPr>
      <t>B</t>
    </r>
  </si>
  <si>
    <t>kg</t>
  </si>
  <si>
    <t>g chemical/L water</t>
  </si>
  <si>
    <t>Concentration of chemical in diet</t>
  </si>
  <si>
    <r>
      <t>C</t>
    </r>
    <r>
      <rPr>
        <vertAlign val="subscript"/>
        <sz val="10"/>
        <rFont val="Calibri"/>
        <family val="2"/>
      </rPr>
      <t>D</t>
    </r>
  </si>
  <si>
    <t>g chemical/kg food</t>
  </si>
  <si>
    <t>Proportional feeding rate</t>
  </si>
  <si>
    <r>
      <t>F</t>
    </r>
    <r>
      <rPr>
        <vertAlign val="subscript"/>
        <sz val="10"/>
        <rFont val="Calibri"/>
        <family val="2"/>
      </rPr>
      <t>D</t>
    </r>
  </si>
  <si>
    <t>kg lipid/kg fish body</t>
  </si>
  <si>
    <r>
      <t>ɸ</t>
    </r>
    <r>
      <rPr>
        <vertAlign val="subscript"/>
        <sz val="10"/>
        <rFont val="Calibri"/>
        <family val="2"/>
      </rPr>
      <t>BP</t>
    </r>
  </si>
  <si>
    <t>kg water/kg fish body</t>
  </si>
  <si>
    <t>Lipid content of diet</t>
  </si>
  <si>
    <r>
      <t>ɸ</t>
    </r>
    <r>
      <rPr>
        <vertAlign val="subscript"/>
        <sz val="10"/>
        <rFont val="Calibri"/>
        <family val="2"/>
      </rPr>
      <t>DL</t>
    </r>
  </si>
  <si>
    <t>kg lipid/kg diet</t>
  </si>
  <si>
    <t>Protein content of diet</t>
  </si>
  <si>
    <r>
      <t>ɸ</t>
    </r>
    <r>
      <rPr>
        <vertAlign val="subscript"/>
        <sz val="10"/>
        <rFont val="Calibri"/>
        <family val="2"/>
      </rPr>
      <t>DP</t>
    </r>
  </si>
  <si>
    <t>kg protein/kg diet</t>
  </si>
  <si>
    <r>
      <t>ɸ</t>
    </r>
    <r>
      <rPr>
        <vertAlign val="subscript"/>
        <sz val="10"/>
        <rFont val="Calibri"/>
        <family val="2"/>
      </rPr>
      <t>DN</t>
    </r>
  </si>
  <si>
    <t>Water content of diet</t>
  </si>
  <si>
    <r>
      <t>ɸ</t>
    </r>
    <r>
      <rPr>
        <vertAlign val="subscript"/>
        <sz val="10"/>
        <rFont val="Calibri"/>
        <family val="2"/>
      </rPr>
      <t>DW</t>
    </r>
  </si>
  <si>
    <t xml:space="preserve">Water temperature </t>
  </si>
  <si>
    <t>T</t>
  </si>
  <si>
    <t>°C</t>
  </si>
  <si>
    <t>Dietary assimilation efficiency</t>
  </si>
  <si>
    <t xml:space="preserve">Dissolved oxygen concentration </t>
  </si>
  <si>
    <t>Rate constant for respiratory uptake</t>
  </si>
  <si>
    <t>Rate constant for respiratory elimination</t>
  </si>
  <si>
    <r>
      <t>k</t>
    </r>
    <r>
      <rPr>
        <vertAlign val="subscript"/>
        <sz val="10"/>
        <rFont val="Calibri"/>
        <family val="2"/>
      </rPr>
      <t>BG</t>
    </r>
  </si>
  <si>
    <t>Rate constant for somatic biotransformation</t>
  </si>
  <si>
    <r>
      <t>k</t>
    </r>
    <r>
      <rPr>
        <vertAlign val="subscript"/>
        <sz val="10"/>
        <rFont val="Calibri"/>
        <family val="2"/>
      </rPr>
      <t>BM</t>
    </r>
  </si>
  <si>
    <r>
      <t>k</t>
    </r>
    <r>
      <rPr>
        <vertAlign val="subscript"/>
        <sz val="10"/>
        <rFont val="Calibri"/>
        <family val="2"/>
      </rPr>
      <t>BM</t>
    </r>
    <r>
      <rPr>
        <sz val="10"/>
        <rFont val="Calibri"/>
        <family val="2"/>
      </rPr>
      <t xml:space="preserve"> = k</t>
    </r>
    <r>
      <rPr>
        <vertAlign val="subscript"/>
        <sz val="10"/>
        <rFont val="Calibri"/>
        <family val="2"/>
      </rPr>
      <t>BT</t>
    </r>
    <r>
      <rPr>
        <sz val="10"/>
        <rFont val="Calibri"/>
        <family val="2"/>
      </rPr>
      <t>-k</t>
    </r>
    <r>
      <rPr>
        <vertAlign val="subscript"/>
        <sz val="10"/>
        <rFont val="Calibri"/>
        <family val="2"/>
      </rPr>
      <t>BT,R</t>
    </r>
  </si>
  <si>
    <r>
      <t>k</t>
    </r>
    <r>
      <rPr>
        <vertAlign val="subscript"/>
        <sz val="10"/>
        <rFont val="Calibri"/>
        <family val="2"/>
      </rPr>
      <t>GB</t>
    </r>
  </si>
  <si>
    <r>
      <t>k</t>
    </r>
    <r>
      <rPr>
        <vertAlign val="subscript"/>
        <sz val="10"/>
        <rFont val="Calibri"/>
        <family val="2"/>
      </rPr>
      <t>GE</t>
    </r>
  </si>
  <si>
    <r>
      <t>k</t>
    </r>
    <r>
      <rPr>
        <vertAlign val="subscript"/>
        <sz val="10"/>
        <rFont val="Calibri"/>
        <family val="2"/>
      </rPr>
      <t xml:space="preserve">GE </t>
    </r>
    <r>
      <rPr>
        <sz val="10"/>
        <rFont val="Calibri"/>
        <family val="2"/>
      </rPr>
      <t>= G</t>
    </r>
    <r>
      <rPr>
        <vertAlign val="subscript"/>
        <sz val="10"/>
        <rFont val="Calibri"/>
        <family val="2"/>
      </rPr>
      <t>GE</t>
    </r>
    <r>
      <rPr>
        <sz val="10"/>
        <rFont val="Calibri"/>
        <family val="2"/>
      </rPr>
      <t>/W</t>
    </r>
    <r>
      <rPr>
        <vertAlign val="subscript"/>
        <sz val="10"/>
        <rFont val="Calibri"/>
        <family val="2"/>
      </rPr>
      <t>G</t>
    </r>
  </si>
  <si>
    <r>
      <t>k</t>
    </r>
    <r>
      <rPr>
        <vertAlign val="subscript"/>
        <sz val="10"/>
        <rFont val="Calibri"/>
        <family val="2"/>
      </rPr>
      <t>GM</t>
    </r>
  </si>
  <si>
    <t>Biomagnification factor</t>
  </si>
  <si>
    <t>BMF</t>
  </si>
  <si>
    <r>
      <t>BMF</t>
    </r>
    <r>
      <rPr>
        <vertAlign val="subscript"/>
        <sz val="10"/>
        <rFont val="Calibri"/>
        <family val="2"/>
      </rPr>
      <t>L</t>
    </r>
  </si>
  <si>
    <t>kg lipid/kg lipid</t>
  </si>
  <si>
    <t>L water/kg lipid</t>
  </si>
  <si>
    <t>Bioconcentration factor (wet weight, total)</t>
  </si>
  <si>
    <r>
      <t>BCF</t>
    </r>
    <r>
      <rPr>
        <vertAlign val="subscript"/>
        <sz val="10"/>
        <rFont val="Calibri"/>
        <family val="2"/>
      </rPr>
      <t>5%,t</t>
    </r>
  </si>
  <si>
    <r>
      <t>BCF</t>
    </r>
    <r>
      <rPr>
        <vertAlign val="subscript"/>
        <sz val="10"/>
        <rFont val="Calibri"/>
        <family val="2"/>
      </rPr>
      <t>L,t</t>
    </r>
  </si>
  <si>
    <t>θ</t>
  </si>
  <si>
    <t>g chemical/kg body wt</t>
  </si>
  <si>
    <t>g chemical/kg digesta</t>
  </si>
  <si>
    <t>g chemical/kg lipid</t>
  </si>
  <si>
    <t>Amount of digesta</t>
  </si>
  <si>
    <t>Mass of chemical in fish body</t>
  </si>
  <si>
    <t>g</t>
  </si>
  <si>
    <t>Density of fish body</t>
  </si>
  <si>
    <t>g/mL</t>
  </si>
  <si>
    <t>Density of digesta</t>
  </si>
  <si>
    <t>Octanol-water partition coefficient</t>
  </si>
  <si>
    <t>Fish body-water partition coefficient</t>
  </si>
  <si>
    <t>Food ingestion rate</t>
  </si>
  <si>
    <t>kg food/d</t>
  </si>
  <si>
    <t>Fecal egestion rate</t>
  </si>
  <si>
    <t>kg digesta/d</t>
  </si>
  <si>
    <t>95% digestive emptying time</t>
  </si>
  <si>
    <t>d</t>
  </si>
  <si>
    <t>Digesta evacuation rate constant</t>
  </si>
  <si>
    <t>δ</t>
  </si>
  <si>
    <t>Dietary assimilation efficiency of lipid</t>
  </si>
  <si>
    <t>Lo et al. 2015</t>
  </si>
  <si>
    <t>Dietary assimilation efficiency of protein</t>
  </si>
  <si>
    <t>Dietary assimilation efficiency of nondigestible organic matter</t>
  </si>
  <si>
    <t>Dietary assimilation efficiency of water</t>
  </si>
  <si>
    <t>kg lipid/kg digesta</t>
  </si>
  <si>
    <t>kg protein/kg digesta</t>
  </si>
  <si>
    <t>kg nondigestible organic matter/kg digesta</t>
  </si>
  <si>
    <t>kg water/kg digesta</t>
  </si>
  <si>
    <t>kg nondigestible organic matter/kg diet</t>
  </si>
  <si>
    <t>kg water/kg diet</t>
  </si>
  <si>
    <t>Fraction of lipid-equivalent content in fish body</t>
  </si>
  <si>
    <t>Fraction of lipid-equivalent content in diet</t>
  </si>
  <si>
    <t>Logarithm of dissolved organic carbon-water partition coefficient</t>
  </si>
  <si>
    <r>
      <t>K</t>
    </r>
    <r>
      <rPr>
        <vertAlign val="subscript"/>
        <sz val="10"/>
        <rFont val="Calibri"/>
        <family val="2"/>
      </rPr>
      <t>OW</t>
    </r>
  </si>
  <si>
    <r>
      <t>K</t>
    </r>
    <r>
      <rPr>
        <vertAlign val="subscript"/>
        <sz val="10"/>
        <rFont val="Calibri"/>
        <family val="2"/>
      </rPr>
      <t>OC</t>
    </r>
  </si>
  <si>
    <r>
      <t>K</t>
    </r>
    <r>
      <rPr>
        <vertAlign val="subscript"/>
        <sz val="10"/>
        <rFont val="Calibri"/>
        <family val="2"/>
      </rPr>
      <t>BW</t>
    </r>
  </si>
  <si>
    <r>
      <t>K</t>
    </r>
    <r>
      <rPr>
        <vertAlign val="subscript"/>
        <sz val="10"/>
        <rFont val="Calibri"/>
        <family val="2"/>
      </rPr>
      <t>GB</t>
    </r>
  </si>
  <si>
    <r>
      <t>G</t>
    </r>
    <r>
      <rPr>
        <vertAlign val="subscript"/>
        <sz val="10"/>
        <rFont val="Calibri"/>
        <family val="2"/>
      </rPr>
      <t>I</t>
    </r>
  </si>
  <si>
    <r>
      <t>G</t>
    </r>
    <r>
      <rPr>
        <vertAlign val="subscript"/>
        <sz val="10"/>
        <rFont val="Calibri"/>
        <family val="2"/>
      </rPr>
      <t>GE</t>
    </r>
  </si>
  <si>
    <r>
      <t>t</t>
    </r>
    <r>
      <rPr>
        <vertAlign val="subscript"/>
        <sz val="10"/>
        <rFont val="Calibri"/>
        <family val="2"/>
      </rPr>
      <t>E,95</t>
    </r>
  </si>
  <si>
    <r>
      <t>ε</t>
    </r>
    <r>
      <rPr>
        <vertAlign val="subscript"/>
        <sz val="10"/>
        <rFont val="Calibri"/>
        <family val="2"/>
      </rPr>
      <t>L</t>
    </r>
  </si>
  <si>
    <r>
      <t>ε</t>
    </r>
    <r>
      <rPr>
        <vertAlign val="subscript"/>
        <sz val="10"/>
        <rFont val="Calibri"/>
        <family val="2"/>
      </rPr>
      <t>P</t>
    </r>
  </si>
  <si>
    <r>
      <t>ε</t>
    </r>
    <r>
      <rPr>
        <vertAlign val="subscript"/>
        <sz val="10"/>
        <rFont val="Calibri"/>
        <family val="2"/>
      </rPr>
      <t>N</t>
    </r>
  </si>
  <si>
    <r>
      <t>ε</t>
    </r>
    <r>
      <rPr>
        <vertAlign val="subscript"/>
        <sz val="10"/>
        <rFont val="Calibri"/>
        <family val="2"/>
      </rPr>
      <t>W</t>
    </r>
  </si>
  <si>
    <r>
      <t>ɸ</t>
    </r>
    <r>
      <rPr>
        <vertAlign val="subscript"/>
        <sz val="10"/>
        <rFont val="Calibri"/>
        <family val="2"/>
      </rPr>
      <t>GL</t>
    </r>
  </si>
  <si>
    <r>
      <t>ɸ</t>
    </r>
    <r>
      <rPr>
        <vertAlign val="subscript"/>
        <sz val="10"/>
        <rFont val="Calibri"/>
        <family val="2"/>
      </rPr>
      <t xml:space="preserve">GL </t>
    </r>
    <r>
      <rPr>
        <sz val="10"/>
        <rFont val="Calibri"/>
        <family val="2"/>
      </rPr>
      <t>= [(1-ε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t>
    </r>
  </si>
  <si>
    <r>
      <t>ɸ</t>
    </r>
    <r>
      <rPr>
        <vertAlign val="subscript"/>
        <sz val="10"/>
        <rFont val="Calibri"/>
        <family val="2"/>
      </rPr>
      <t>GP</t>
    </r>
  </si>
  <si>
    <r>
      <t>ɸ</t>
    </r>
    <r>
      <rPr>
        <vertAlign val="subscript"/>
        <sz val="10"/>
        <rFont val="Calibri"/>
        <family val="2"/>
      </rPr>
      <t xml:space="preserve">GP </t>
    </r>
    <r>
      <rPr>
        <sz val="10"/>
        <rFont val="Calibri"/>
        <family val="2"/>
      </rPr>
      <t>= [(1-ε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t>
    </r>
  </si>
  <si>
    <r>
      <t>ɸ</t>
    </r>
    <r>
      <rPr>
        <vertAlign val="subscript"/>
        <sz val="10"/>
        <rFont val="Calibri"/>
        <family val="2"/>
      </rPr>
      <t>GN</t>
    </r>
  </si>
  <si>
    <r>
      <t>ɸ</t>
    </r>
    <r>
      <rPr>
        <vertAlign val="subscript"/>
        <sz val="10"/>
        <rFont val="Calibri"/>
        <family val="2"/>
      </rPr>
      <t xml:space="preserve">GN </t>
    </r>
    <r>
      <rPr>
        <sz val="10"/>
        <rFont val="Calibri"/>
        <family val="2"/>
      </rPr>
      <t>= [(1-ε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t>
    </r>
  </si>
  <si>
    <r>
      <t>ɸ</t>
    </r>
    <r>
      <rPr>
        <vertAlign val="subscript"/>
        <sz val="10"/>
        <rFont val="Calibri"/>
        <family val="2"/>
      </rPr>
      <t>GW</t>
    </r>
  </si>
  <si>
    <r>
      <t>ɸ</t>
    </r>
    <r>
      <rPr>
        <vertAlign val="subscript"/>
        <sz val="10"/>
        <rFont val="Calibri"/>
        <family val="2"/>
      </rPr>
      <t xml:space="preserve">GW </t>
    </r>
    <r>
      <rPr>
        <sz val="10"/>
        <rFont val="Calibri"/>
        <family val="2"/>
      </rPr>
      <t>= [(1-ε</t>
    </r>
    <r>
      <rPr>
        <vertAlign val="subscript"/>
        <sz val="10"/>
        <rFont val="Calibri"/>
        <family val="2"/>
      </rPr>
      <t>W</t>
    </r>
    <r>
      <rPr>
        <sz val="10"/>
        <rFont val="Calibri"/>
        <family val="2"/>
      </rPr>
      <t>)ɸ</t>
    </r>
    <r>
      <rPr>
        <vertAlign val="subscript"/>
        <sz val="10"/>
        <rFont val="Calibri"/>
        <family val="2"/>
      </rPr>
      <t>DW</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t>
    </r>
  </si>
  <si>
    <t>Standard error of BMF</t>
  </si>
  <si>
    <t>Density of lipid</t>
  </si>
  <si>
    <t>Density of protein</t>
  </si>
  <si>
    <t>Density of water</t>
  </si>
  <si>
    <t>SE(BMF)</t>
  </si>
  <si>
    <r>
      <t>Partial derivative of BMF</t>
    </r>
    <r>
      <rPr>
        <vertAlign val="subscript"/>
        <sz val="10"/>
        <rFont val="Calibri"/>
        <family val="2"/>
      </rPr>
      <t xml:space="preserve"> </t>
    </r>
    <r>
      <rPr>
        <sz val="10"/>
        <rFont val="Calibri"/>
        <family val="2"/>
      </rPr>
      <t>with respect to b</t>
    </r>
    <r>
      <rPr>
        <vertAlign val="subscript"/>
        <sz val="10"/>
        <rFont val="Calibri"/>
        <family val="2"/>
      </rPr>
      <t>0</t>
    </r>
  </si>
  <si>
    <r>
      <t>Partial derivative of BMF</t>
    </r>
    <r>
      <rPr>
        <vertAlign val="subscript"/>
        <sz val="10"/>
        <rFont val="Calibri"/>
        <family val="2"/>
      </rPr>
      <t xml:space="preserve"> </t>
    </r>
    <r>
      <rPr>
        <sz val="10"/>
        <rFont val="Calibri"/>
        <family val="2"/>
      </rPr>
      <t>with respect to b</t>
    </r>
    <r>
      <rPr>
        <vertAlign val="subscript"/>
        <sz val="10"/>
        <rFont val="Calibri"/>
        <family val="2"/>
      </rPr>
      <t>1</t>
    </r>
  </si>
  <si>
    <t>Enter</t>
  </si>
  <si>
    <t>Calculated</t>
  </si>
  <si>
    <r>
      <t>L</t>
    </r>
    <r>
      <rPr>
        <vertAlign val="subscript"/>
        <sz val="10"/>
        <rFont val="Calibri"/>
        <family val="2"/>
      </rPr>
      <t>B</t>
    </r>
  </si>
  <si>
    <r>
      <t>L</t>
    </r>
    <r>
      <rPr>
        <vertAlign val="subscript"/>
        <sz val="10"/>
        <rFont val="Calibri"/>
        <family val="2"/>
      </rPr>
      <t>D</t>
    </r>
  </si>
  <si>
    <r>
      <t>BCF</t>
    </r>
    <r>
      <rPr>
        <vertAlign val="subscript"/>
        <sz val="10"/>
        <rFont val="Calibri"/>
        <family val="2"/>
      </rPr>
      <t>L,t</t>
    </r>
    <r>
      <rPr>
        <sz val="10"/>
        <rFont val="Calibri"/>
        <family val="2"/>
      </rPr>
      <t xml:space="preserve"> = BCF</t>
    </r>
    <r>
      <rPr>
        <vertAlign val="subscript"/>
        <sz val="10"/>
        <rFont val="Calibri"/>
        <family val="2"/>
      </rPr>
      <t>ww,t</t>
    </r>
    <r>
      <rPr>
        <sz val="10"/>
        <rFont val="Calibri"/>
        <family val="2"/>
      </rPr>
      <t>/L</t>
    </r>
    <r>
      <rPr>
        <vertAlign val="subscript"/>
        <sz val="10"/>
        <rFont val="Calibri"/>
        <family val="2"/>
      </rPr>
      <t>B</t>
    </r>
  </si>
  <si>
    <r>
      <t>G</t>
    </r>
    <r>
      <rPr>
        <vertAlign val="subscript"/>
        <sz val="10"/>
        <rFont val="Calibri"/>
        <family val="2"/>
      </rPr>
      <t>I</t>
    </r>
    <r>
      <rPr>
        <sz val="10"/>
        <rFont val="Calibri"/>
        <family val="2"/>
      </rPr>
      <t xml:space="preserve"> = F</t>
    </r>
    <r>
      <rPr>
        <vertAlign val="subscript"/>
        <sz val="10"/>
        <rFont val="Calibri"/>
        <family val="2"/>
      </rPr>
      <t>D</t>
    </r>
    <r>
      <rPr>
        <sz val="10"/>
        <rFont val="Calibri"/>
        <family val="2"/>
      </rPr>
      <t>∙W</t>
    </r>
    <r>
      <rPr>
        <vertAlign val="subscript"/>
        <sz val="10"/>
        <rFont val="Calibri"/>
        <family val="2"/>
      </rPr>
      <t>B</t>
    </r>
  </si>
  <si>
    <t>Proportional contribution of somatic biotransformation</t>
  </si>
  <si>
    <t>Proportional contribution of intestinal biotransformation</t>
  </si>
  <si>
    <t>Calculation</t>
  </si>
  <si>
    <t>Chemical flux of food ingestion</t>
  </si>
  <si>
    <t>Chemical flux from fish body to intestines</t>
  </si>
  <si>
    <t>Chemical flux entering fish body from intestinal tract</t>
  </si>
  <si>
    <t>Flux (g/d)</t>
  </si>
  <si>
    <t>Chemical flux of gill uptake</t>
  </si>
  <si>
    <t>Chemical flux of respiratory elimination</t>
  </si>
  <si>
    <t>Chemical flux of biotransformation in fish body</t>
  </si>
  <si>
    <t>Chemical flux of growth dilution</t>
  </si>
  <si>
    <t>Chemical flux of biotransformation in GIT</t>
  </si>
  <si>
    <t>Chemical flux of fecal excretion</t>
  </si>
  <si>
    <t>% Flux</t>
  </si>
  <si>
    <r>
      <t>d</t>
    </r>
    <r>
      <rPr>
        <vertAlign val="subscript"/>
        <sz val="10"/>
        <rFont val="Calibri"/>
        <family val="2"/>
      </rPr>
      <t>W</t>
    </r>
  </si>
  <si>
    <t>Internal distribution</t>
  </si>
  <si>
    <t>Absorption</t>
  </si>
  <si>
    <t>Metabolism</t>
  </si>
  <si>
    <t>Excretion</t>
  </si>
  <si>
    <t>Concentration of chemical in water</t>
  </si>
  <si>
    <r>
      <t>C</t>
    </r>
    <r>
      <rPr>
        <vertAlign val="subscript"/>
        <sz val="10"/>
        <color theme="1"/>
        <rFont val="Calibri"/>
        <family val="2"/>
      </rPr>
      <t>WT</t>
    </r>
  </si>
  <si>
    <r>
      <t>BCF</t>
    </r>
    <r>
      <rPr>
        <vertAlign val="subscript"/>
        <sz val="10"/>
        <rFont val="Calibri"/>
        <family val="2"/>
      </rPr>
      <t>ww,t</t>
    </r>
  </si>
  <si>
    <r>
      <t>W</t>
    </r>
    <r>
      <rPr>
        <vertAlign val="subscript"/>
        <sz val="10"/>
        <rFont val="Calibri"/>
        <family val="2"/>
      </rPr>
      <t>G</t>
    </r>
  </si>
  <si>
    <t>Dietary assimilation efficiency (wet weight)</t>
  </si>
  <si>
    <t>Dietary assimilation efficiency (dry weight)</t>
  </si>
  <si>
    <r>
      <t>Concentration of chemical in fish body (C</t>
    </r>
    <r>
      <rPr>
        <vertAlign val="subscript"/>
        <sz val="10"/>
        <color theme="1"/>
        <rFont val="Calibri"/>
        <family val="2"/>
      </rPr>
      <t>B</t>
    </r>
    <r>
      <rPr>
        <sz val="10"/>
        <color theme="1"/>
        <rFont val="Calibri"/>
        <family val="2"/>
      </rPr>
      <t>)</t>
    </r>
  </si>
  <si>
    <r>
      <t>ε</t>
    </r>
    <r>
      <rPr>
        <vertAlign val="subscript"/>
        <sz val="10"/>
        <rFont val="Calibri"/>
        <family val="2"/>
      </rPr>
      <t>f</t>
    </r>
  </si>
  <si>
    <r>
      <t>Enter "NA" if measured ε</t>
    </r>
    <r>
      <rPr>
        <vertAlign val="subscript"/>
        <sz val="10"/>
        <rFont val="Calibri"/>
        <family val="2"/>
      </rPr>
      <t>f</t>
    </r>
    <r>
      <rPr>
        <sz val="10"/>
        <rFont val="Calibri"/>
        <family val="2"/>
      </rPr>
      <t xml:space="preserve"> is not available</t>
    </r>
  </si>
  <si>
    <r>
      <t>K</t>
    </r>
    <r>
      <rPr>
        <vertAlign val="subscript"/>
        <sz val="10"/>
        <rFont val="Calibri"/>
        <family val="2"/>
      </rPr>
      <t>OW</t>
    </r>
    <r>
      <rPr>
        <sz val="10"/>
        <rFont val="Calibri"/>
        <family val="2"/>
      </rPr>
      <t xml:space="preserve"> = 10</t>
    </r>
    <r>
      <rPr>
        <vertAlign val="superscript"/>
        <sz val="10"/>
        <rFont val="Calibri"/>
        <family val="2"/>
      </rPr>
      <t>logKow</t>
    </r>
  </si>
  <si>
    <r>
      <t>K</t>
    </r>
    <r>
      <rPr>
        <vertAlign val="subscript"/>
        <sz val="10"/>
        <rFont val="Calibri"/>
        <family val="2"/>
      </rPr>
      <t>OC</t>
    </r>
    <r>
      <rPr>
        <sz val="10"/>
        <rFont val="Calibri"/>
        <family val="2"/>
      </rPr>
      <t xml:space="preserve"> = 10</t>
    </r>
    <r>
      <rPr>
        <vertAlign val="superscript"/>
        <sz val="10"/>
        <rFont val="Calibri"/>
        <family val="2"/>
      </rPr>
      <t>logKoc</t>
    </r>
  </si>
  <si>
    <r>
      <t>C</t>
    </r>
    <r>
      <rPr>
        <vertAlign val="subscript"/>
        <sz val="10"/>
        <rFont val="Calibri"/>
        <family val="2"/>
      </rPr>
      <t>WD</t>
    </r>
  </si>
  <si>
    <r>
      <t>C</t>
    </r>
    <r>
      <rPr>
        <vertAlign val="subscript"/>
        <sz val="10"/>
        <rFont val="Calibri"/>
        <family val="2"/>
      </rPr>
      <t>B</t>
    </r>
  </si>
  <si>
    <r>
      <t>C</t>
    </r>
    <r>
      <rPr>
        <vertAlign val="subscript"/>
        <sz val="10"/>
        <rFont val="Calibri"/>
        <family val="2"/>
      </rPr>
      <t>G</t>
    </r>
  </si>
  <si>
    <r>
      <t>C</t>
    </r>
    <r>
      <rPr>
        <vertAlign val="subscript"/>
        <sz val="10"/>
        <rFont val="Calibri"/>
        <family val="2"/>
      </rPr>
      <t xml:space="preserve">G </t>
    </r>
    <r>
      <rPr>
        <sz val="10"/>
        <rFont val="Calibri"/>
        <family val="2"/>
      </rPr>
      <t>= M</t>
    </r>
    <r>
      <rPr>
        <vertAlign val="subscript"/>
        <sz val="10"/>
        <rFont val="Calibri"/>
        <family val="2"/>
      </rPr>
      <t>G</t>
    </r>
    <r>
      <rPr>
        <sz val="10"/>
        <rFont val="Calibri"/>
        <family val="2"/>
      </rPr>
      <t>/W</t>
    </r>
    <r>
      <rPr>
        <vertAlign val="subscript"/>
        <sz val="10"/>
        <rFont val="Calibri"/>
        <family val="2"/>
      </rPr>
      <t>G</t>
    </r>
  </si>
  <si>
    <r>
      <t>C</t>
    </r>
    <r>
      <rPr>
        <vertAlign val="subscript"/>
        <sz val="10"/>
        <rFont val="Calibri"/>
        <family val="2"/>
      </rPr>
      <t>BL</t>
    </r>
  </si>
  <si>
    <r>
      <t>C</t>
    </r>
    <r>
      <rPr>
        <vertAlign val="subscript"/>
        <sz val="10"/>
        <rFont val="Calibri"/>
        <family val="2"/>
      </rPr>
      <t>BL</t>
    </r>
    <r>
      <rPr>
        <sz val="10"/>
        <rFont val="Calibri"/>
        <family val="2"/>
      </rPr>
      <t xml:space="preserve"> = C</t>
    </r>
    <r>
      <rPr>
        <vertAlign val="subscript"/>
        <sz val="10"/>
        <rFont val="Calibri"/>
        <family val="2"/>
      </rPr>
      <t>B</t>
    </r>
    <r>
      <rPr>
        <sz val="10"/>
        <rFont val="Calibri"/>
        <family val="2"/>
      </rPr>
      <t>/L</t>
    </r>
    <r>
      <rPr>
        <vertAlign val="subscript"/>
        <sz val="10"/>
        <rFont val="Calibri"/>
        <family val="2"/>
      </rPr>
      <t>B</t>
    </r>
  </si>
  <si>
    <r>
      <t>C</t>
    </r>
    <r>
      <rPr>
        <vertAlign val="subscript"/>
        <sz val="10"/>
        <rFont val="Calibri"/>
        <family val="2"/>
      </rPr>
      <t>DL</t>
    </r>
  </si>
  <si>
    <r>
      <t>C</t>
    </r>
    <r>
      <rPr>
        <vertAlign val="subscript"/>
        <sz val="10"/>
        <rFont val="Calibri"/>
        <family val="2"/>
      </rPr>
      <t>DL</t>
    </r>
    <r>
      <rPr>
        <sz val="10"/>
        <rFont val="Calibri"/>
        <family val="2"/>
      </rPr>
      <t xml:space="preserve"> = C</t>
    </r>
    <r>
      <rPr>
        <vertAlign val="subscript"/>
        <sz val="10"/>
        <rFont val="Calibri"/>
        <family val="2"/>
      </rPr>
      <t>D</t>
    </r>
    <r>
      <rPr>
        <sz val="10"/>
        <rFont val="Calibri"/>
        <family val="2"/>
      </rPr>
      <t>/L</t>
    </r>
    <r>
      <rPr>
        <vertAlign val="subscript"/>
        <sz val="10"/>
        <rFont val="Calibri"/>
        <family val="2"/>
      </rPr>
      <t>D</t>
    </r>
  </si>
  <si>
    <r>
      <t>W</t>
    </r>
    <r>
      <rPr>
        <vertAlign val="subscript"/>
        <sz val="10"/>
        <rFont val="Calibri"/>
        <family val="2"/>
      </rPr>
      <t xml:space="preserve">G </t>
    </r>
    <r>
      <rPr>
        <sz val="10"/>
        <rFont val="Calibri"/>
        <family val="2"/>
      </rPr>
      <t>= G</t>
    </r>
    <r>
      <rPr>
        <vertAlign val="subscript"/>
        <sz val="10"/>
        <rFont val="Calibri"/>
        <family val="2"/>
      </rPr>
      <t>I</t>
    </r>
    <r>
      <rPr>
        <sz val="10"/>
        <rFont val="Calibri"/>
        <family val="2"/>
      </rPr>
      <t>/δ</t>
    </r>
  </si>
  <si>
    <r>
      <t>M</t>
    </r>
    <r>
      <rPr>
        <vertAlign val="subscript"/>
        <sz val="10"/>
        <rFont val="Calibri"/>
        <family val="2"/>
      </rPr>
      <t>B</t>
    </r>
  </si>
  <si>
    <r>
      <t>M</t>
    </r>
    <r>
      <rPr>
        <vertAlign val="subscript"/>
        <sz val="10"/>
        <rFont val="Calibri"/>
        <family val="2"/>
      </rPr>
      <t>G</t>
    </r>
  </si>
  <si>
    <r>
      <t>φ</t>
    </r>
    <r>
      <rPr>
        <vertAlign val="subscript"/>
        <sz val="10"/>
        <rFont val="Calibri"/>
        <family val="2"/>
      </rPr>
      <t>BM</t>
    </r>
  </si>
  <si>
    <r>
      <t>φ</t>
    </r>
    <r>
      <rPr>
        <vertAlign val="subscript"/>
        <sz val="10"/>
        <rFont val="Calibri"/>
        <family val="2"/>
      </rPr>
      <t>GM</t>
    </r>
  </si>
  <si>
    <r>
      <t>d</t>
    </r>
    <r>
      <rPr>
        <vertAlign val="subscript"/>
        <sz val="10"/>
        <rFont val="Calibri"/>
        <family val="2"/>
      </rPr>
      <t>B</t>
    </r>
  </si>
  <si>
    <r>
      <t>d</t>
    </r>
    <r>
      <rPr>
        <vertAlign val="subscript"/>
        <sz val="10"/>
        <rFont val="Calibri"/>
        <family val="2"/>
      </rPr>
      <t>G</t>
    </r>
  </si>
  <si>
    <r>
      <t>d</t>
    </r>
    <r>
      <rPr>
        <vertAlign val="subscript"/>
        <sz val="10"/>
        <rFont val="Calibri"/>
        <family val="2"/>
      </rPr>
      <t>L</t>
    </r>
  </si>
  <si>
    <r>
      <t>d</t>
    </r>
    <r>
      <rPr>
        <vertAlign val="subscript"/>
        <sz val="10"/>
        <rFont val="Calibri"/>
        <family val="2"/>
      </rPr>
      <t>P</t>
    </r>
  </si>
  <si>
    <r>
      <t>d</t>
    </r>
    <r>
      <rPr>
        <vertAlign val="subscript"/>
        <sz val="10"/>
        <rFont val="Calibri"/>
        <family val="2"/>
      </rPr>
      <t>N</t>
    </r>
  </si>
  <si>
    <r>
      <t>δ ~ 3/t</t>
    </r>
    <r>
      <rPr>
        <vertAlign val="subscript"/>
        <sz val="10"/>
        <rFont val="Calibri"/>
        <family val="2"/>
      </rPr>
      <t>E,95</t>
    </r>
  </si>
  <si>
    <r>
      <t>ε</t>
    </r>
    <r>
      <rPr>
        <vertAlign val="subscript"/>
        <sz val="10"/>
        <rFont val="Calibri"/>
        <family val="2"/>
      </rPr>
      <t>f,ww</t>
    </r>
  </si>
  <si>
    <r>
      <t>ε</t>
    </r>
    <r>
      <rPr>
        <vertAlign val="subscript"/>
        <sz val="10"/>
        <rFont val="Calibri"/>
        <family val="2"/>
      </rPr>
      <t>f,dw</t>
    </r>
  </si>
  <si>
    <r>
      <t>b</t>
    </r>
    <r>
      <rPr>
        <vertAlign val="subscript"/>
        <sz val="10"/>
        <rFont val="Calibri"/>
        <family val="2"/>
      </rPr>
      <t>0</t>
    </r>
  </si>
  <si>
    <r>
      <t>b</t>
    </r>
    <r>
      <rPr>
        <vertAlign val="subscript"/>
        <sz val="10"/>
        <rFont val="Calibri"/>
        <family val="2"/>
      </rPr>
      <t>1</t>
    </r>
  </si>
  <si>
    <r>
      <t>Cov(b</t>
    </r>
    <r>
      <rPr>
        <vertAlign val="subscript"/>
        <sz val="10"/>
        <rFont val="Calibri"/>
        <family val="2"/>
      </rPr>
      <t>0</t>
    </r>
    <r>
      <rPr>
        <sz val="10"/>
        <rFont val="Calibri"/>
        <family val="2"/>
      </rPr>
      <t>,b</t>
    </r>
    <r>
      <rPr>
        <vertAlign val="subscript"/>
        <sz val="10"/>
        <rFont val="Calibri"/>
        <family val="2"/>
      </rPr>
      <t>1</t>
    </r>
    <r>
      <rPr>
        <sz val="10"/>
        <rFont val="Calibri"/>
        <family val="2"/>
      </rPr>
      <t>)</t>
    </r>
  </si>
  <si>
    <r>
      <t>G</t>
    </r>
    <r>
      <rPr>
        <vertAlign val="subscript"/>
        <sz val="10"/>
        <color theme="1"/>
        <rFont val="Calibri"/>
        <family val="2"/>
      </rPr>
      <t>I</t>
    </r>
    <r>
      <rPr>
        <sz val="10"/>
        <color theme="1"/>
        <rFont val="Calibri"/>
        <family val="2"/>
      </rPr>
      <t>C</t>
    </r>
    <r>
      <rPr>
        <vertAlign val="subscript"/>
        <sz val="10"/>
        <color theme="1"/>
        <rFont val="Calibri"/>
        <family val="2"/>
      </rPr>
      <t>D</t>
    </r>
  </si>
  <si>
    <r>
      <t>[k</t>
    </r>
    <r>
      <rPr>
        <vertAlign val="subscript"/>
        <sz val="10"/>
        <color theme="1"/>
        <rFont val="Calibri"/>
        <family val="2"/>
      </rPr>
      <t>GB</t>
    </r>
    <r>
      <rPr>
        <sz val="10"/>
        <rFont val="Calibri"/>
        <family val="2"/>
      </rPr>
      <t>/(k</t>
    </r>
    <r>
      <rPr>
        <vertAlign val="subscript"/>
        <sz val="10"/>
        <color theme="1"/>
        <rFont val="Calibri"/>
        <family val="2"/>
      </rPr>
      <t>GB</t>
    </r>
    <r>
      <rPr>
        <sz val="10"/>
        <rFont val="Calibri"/>
        <family val="2"/>
      </rPr>
      <t>+k</t>
    </r>
    <r>
      <rPr>
        <vertAlign val="subscript"/>
        <sz val="10"/>
        <color theme="1"/>
        <rFont val="Calibri"/>
        <family val="2"/>
      </rPr>
      <t>GE</t>
    </r>
    <r>
      <rPr>
        <sz val="10"/>
        <rFont val="Calibri"/>
        <family val="2"/>
      </rPr>
      <t>+k</t>
    </r>
    <r>
      <rPr>
        <vertAlign val="subscript"/>
        <sz val="10"/>
        <color theme="1"/>
        <rFont val="Calibri"/>
        <family val="2"/>
      </rPr>
      <t>GM</t>
    </r>
    <r>
      <rPr>
        <sz val="10"/>
        <rFont val="Calibri"/>
        <family val="2"/>
      </rPr>
      <t>)]G</t>
    </r>
    <r>
      <rPr>
        <vertAlign val="subscript"/>
        <sz val="10"/>
        <color theme="1"/>
        <rFont val="Calibri"/>
        <family val="2"/>
      </rPr>
      <t>I</t>
    </r>
    <r>
      <rPr>
        <sz val="10"/>
        <rFont val="Calibri"/>
        <family val="2"/>
      </rPr>
      <t>C</t>
    </r>
    <r>
      <rPr>
        <vertAlign val="subscript"/>
        <sz val="10"/>
        <color theme="1"/>
        <rFont val="Calibri"/>
        <family val="2"/>
      </rPr>
      <t>D</t>
    </r>
  </si>
  <si>
    <r>
      <t>[k</t>
    </r>
    <r>
      <rPr>
        <vertAlign val="subscript"/>
        <sz val="10"/>
        <color theme="1"/>
        <rFont val="Calibri"/>
        <family val="2"/>
      </rPr>
      <t>GE</t>
    </r>
    <r>
      <rPr>
        <sz val="10"/>
        <rFont val="Calibri"/>
        <family val="2"/>
      </rPr>
      <t>/(k</t>
    </r>
    <r>
      <rPr>
        <vertAlign val="subscript"/>
        <sz val="10"/>
        <color theme="1"/>
        <rFont val="Calibri"/>
        <family val="2"/>
      </rPr>
      <t>GB</t>
    </r>
    <r>
      <rPr>
        <sz val="10"/>
        <rFont val="Calibri"/>
        <family val="2"/>
      </rPr>
      <t>+k</t>
    </r>
    <r>
      <rPr>
        <vertAlign val="subscript"/>
        <sz val="10"/>
        <color theme="1"/>
        <rFont val="Calibri"/>
        <family val="2"/>
      </rPr>
      <t>GE</t>
    </r>
    <r>
      <rPr>
        <sz val="10"/>
        <rFont val="Calibri"/>
        <family val="2"/>
      </rPr>
      <t>+k</t>
    </r>
    <r>
      <rPr>
        <vertAlign val="subscript"/>
        <sz val="10"/>
        <color theme="1"/>
        <rFont val="Calibri"/>
        <family val="2"/>
      </rPr>
      <t>GM</t>
    </r>
    <r>
      <rPr>
        <sz val="10"/>
        <rFont val="Calibri"/>
        <family val="2"/>
      </rPr>
      <t>)]G</t>
    </r>
    <r>
      <rPr>
        <vertAlign val="subscript"/>
        <sz val="10"/>
        <color theme="1"/>
        <rFont val="Calibri"/>
        <family val="2"/>
      </rPr>
      <t>I</t>
    </r>
    <r>
      <rPr>
        <sz val="10"/>
        <rFont val="Calibri"/>
        <family val="2"/>
      </rPr>
      <t>C</t>
    </r>
    <r>
      <rPr>
        <vertAlign val="subscript"/>
        <sz val="10"/>
        <color theme="1"/>
        <rFont val="Calibri"/>
        <family val="2"/>
      </rPr>
      <t>D</t>
    </r>
  </si>
  <si>
    <r>
      <t>[k</t>
    </r>
    <r>
      <rPr>
        <vertAlign val="subscript"/>
        <sz val="10"/>
        <color theme="1"/>
        <rFont val="Calibri"/>
        <family val="2"/>
      </rPr>
      <t>GM</t>
    </r>
    <r>
      <rPr>
        <sz val="10"/>
        <rFont val="Calibri"/>
        <family val="2"/>
      </rPr>
      <t>/(k</t>
    </r>
    <r>
      <rPr>
        <vertAlign val="subscript"/>
        <sz val="10"/>
        <color theme="1"/>
        <rFont val="Calibri"/>
        <family val="2"/>
      </rPr>
      <t>GB</t>
    </r>
    <r>
      <rPr>
        <sz val="10"/>
        <rFont val="Calibri"/>
        <family val="2"/>
      </rPr>
      <t>+k</t>
    </r>
    <r>
      <rPr>
        <vertAlign val="subscript"/>
        <sz val="10"/>
        <color theme="1"/>
        <rFont val="Calibri"/>
        <family val="2"/>
      </rPr>
      <t>GE</t>
    </r>
    <r>
      <rPr>
        <sz val="10"/>
        <rFont val="Calibri"/>
        <family val="2"/>
      </rPr>
      <t>+k</t>
    </r>
    <r>
      <rPr>
        <vertAlign val="subscript"/>
        <sz val="10"/>
        <color theme="1"/>
        <rFont val="Calibri"/>
        <family val="2"/>
      </rPr>
      <t>GM</t>
    </r>
    <r>
      <rPr>
        <sz val="10"/>
        <rFont val="Calibri"/>
        <family val="2"/>
      </rPr>
      <t>)]G</t>
    </r>
    <r>
      <rPr>
        <vertAlign val="subscript"/>
        <sz val="10"/>
        <color theme="1"/>
        <rFont val="Calibri"/>
        <family val="2"/>
      </rPr>
      <t>I</t>
    </r>
    <r>
      <rPr>
        <sz val="10"/>
        <rFont val="Calibri"/>
        <family val="2"/>
      </rPr>
      <t>C</t>
    </r>
    <r>
      <rPr>
        <vertAlign val="subscript"/>
        <sz val="10"/>
        <color theme="1"/>
        <rFont val="Calibri"/>
        <family val="2"/>
      </rPr>
      <t>D</t>
    </r>
  </si>
  <si>
    <r>
      <t>k</t>
    </r>
    <r>
      <rPr>
        <vertAlign val="subscript"/>
        <sz val="10"/>
        <color theme="1"/>
        <rFont val="Calibri"/>
        <family val="2"/>
      </rPr>
      <t>B1</t>
    </r>
    <r>
      <rPr>
        <sz val="10"/>
        <color theme="1"/>
        <rFont val="Calibri"/>
        <family val="2"/>
      </rPr>
      <t>W</t>
    </r>
    <r>
      <rPr>
        <vertAlign val="subscript"/>
        <sz val="10"/>
        <color theme="1"/>
        <rFont val="Calibri"/>
        <family val="2"/>
      </rPr>
      <t>B</t>
    </r>
    <r>
      <rPr>
        <sz val="10"/>
        <color theme="1"/>
        <rFont val="Calibri"/>
        <family val="2"/>
      </rPr>
      <t>C</t>
    </r>
    <r>
      <rPr>
        <vertAlign val="subscript"/>
        <sz val="10"/>
        <color theme="1"/>
        <rFont val="Calibri"/>
        <family val="2"/>
      </rPr>
      <t>WD</t>
    </r>
  </si>
  <si>
    <r>
      <t>[k</t>
    </r>
    <r>
      <rPr>
        <vertAlign val="subscript"/>
        <sz val="10"/>
        <color theme="1"/>
        <rFont val="Calibri"/>
        <family val="2"/>
      </rPr>
      <t>B2</t>
    </r>
    <r>
      <rPr>
        <sz val="10"/>
        <color theme="1"/>
        <rFont val="Calibri"/>
        <family val="2"/>
      </rPr>
      <t>/(k</t>
    </r>
    <r>
      <rPr>
        <vertAlign val="subscript"/>
        <sz val="10"/>
        <color theme="1"/>
        <rFont val="Calibri"/>
        <family val="2"/>
      </rPr>
      <t>B2</t>
    </r>
    <r>
      <rPr>
        <sz val="10"/>
        <color theme="1"/>
        <rFont val="Calibri"/>
        <family val="2"/>
      </rPr>
      <t>+k</t>
    </r>
    <r>
      <rPr>
        <vertAlign val="subscript"/>
        <sz val="10"/>
        <color theme="1"/>
        <rFont val="Calibri"/>
        <family val="2"/>
      </rPr>
      <t>BG</t>
    </r>
    <r>
      <rPr>
        <sz val="10"/>
        <color theme="1"/>
        <rFont val="Calibri"/>
        <family val="2"/>
      </rPr>
      <t>+k</t>
    </r>
    <r>
      <rPr>
        <vertAlign val="subscript"/>
        <sz val="10"/>
        <color theme="1"/>
        <rFont val="Calibri"/>
        <family val="2"/>
      </rPr>
      <t>BM</t>
    </r>
    <r>
      <rPr>
        <sz val="10"/>
        <color theme="1"/>
        <rFont val="Calibri"/>
        <family val="2"/>
      </rPr>
      <t>+k</t>
    </r>
    <r>
      <rPr>
        <vertAlign val="subscript"/>
        <sz val="10"/>
        <color theme="1"/>
        <rFont val="Calibri"/>
        <family val="2"/>
      </rPr>
      <t>GD</t>
    </r>
    <r>
      <rPr>
        <sz val="10"/>
        <color theme="1"/>
        <rFont val="Calibri"/>
        <family val="2"/>
      </rPr>
      <t>)]k</t>
    </r>
    <r>
      <rPr>
        <vertAlign val="subscript"/>
        <sz val="10"/>
        <color theme="1"/>
        <rFont val="Calibri"/>
        <family val="2"/>
      </rPr>
      <t>B1</t>
    </r>
    <r>
      <rPr>
        <sz val="10"/>
        <color theme="1"/>
        <rFont val="Calibri"/>
        <family val="2"/>
      </rPr>
      <t>W</t>
    </r>
    <r>
      <rPr>
        <vertAlign val="subscript"/>
        <sz val="10"/>
        <color theme="1"/>
        <rFont val="Calibri"/>
        <family val="2"/>
      </rPr>
      <t>B</t>
    </r>
    <r>
      <rPr>
        <sz val="10"/>
        <color theme="1"/>
        <rFont val="Calibri"/>
        <family val="2"/>
      </rPr>
      <t>C</t>
    </r>
    <r>
      <rPr>
        <vertAlign val="subscript"/>
        <sz val="10"/>
        <color theme="1"/>
        <rFont val="Calibri"/>
        <family val="2"/>
      </rPr>
      <t>WD</t>
    </r>
    <r>
      <rPr>
        <sz val="11"/>
        <color theme="1"/>
        <rFont val="Calibri"/>
        <family val="2"/>
      </rPr>
      <t/>
    </r>
  </si>
  <si>
    <r>
      <t>[k</t>
    </r>
    <r>
      <rPr>
        <vertAlign val="subscript"/>
        <sz val="10"/>
        <color theme="1"/>
        <rFont val="Calibri"/>
        <family val="2"/>
      </rPr>
      <t>BG</t>
    </r>
    <r>
      <rPr>
        <sz val="10"/>
        <color theme="1"/>
        <rFont val="Calibri"/>
        <family val="2"/>
      </rPr>
      <t>/(k</t>
    </r>
    <r>
      <rPr>
        <vertAlign val="subscript"/>
        <sz val="10"/>
        <color theme="1"/>
        <rFont val="Calibri"/>
        <family val="2"/>
      </rPr>
      <t>B2</t>
    </r>
    <r>
      <rPr>
        <sz val="10"/>
        <color theme="1"/>
        <rFont val="Calibri"/>
        <family val="2"/>
      </rPr>
      <t>+k</t>
    </r>
    <r>
      <rPr>
        <vertAlign val="subscript"/>
        <sz val="10"/>
        <color theme="1"/>
        <rFont val="Calibri"/>
        <family val="2"/>
      </rPr>
      <t>BG</t>
    </r>
    <r>
      <rPr>
        <sz val="10"/>
        <color theme="1"/>
        <rFont val="Calibri"/>
        <family val="2"/>
      </rPr>
      <t>+k</t>
    </r>
    <r>
      <rPr>
        <vertAlign val="subscript"/>
        <sz val="10"/>
        <color theme="1"/>
        <rFont val="Calibri"/>
        <family val="2"/>
      </rPr>
      <t>BM</t>
    </r>
    <r>
      <rPr>
        <sz val="10"/>
        <color theme="1"/>
        <rFont val="Calibri"/>
        <family val="2"/>
      </rPr>
      <t>+k</t>
    </r>
    <r>
      <rPr>
        <vertAlign val="subscript"/>
        <sz val="10"/>
        <color theme="1"/>
        <rFont val="Calibri"/>
        <family val="2"/>
      </rPr>
      <t>GD</t>
    </r>
    <r>
      <rPr>
        <sz val="10"/>
        <color theme="1"/>
        <rFont val="Calibri"/>
        <family val="2"/>
      </rPr>
      <t>)]k</t>
    </r>
    <r>
      <rPr>
        <vertAlign val="subscript"/>
        <sz val="10"/>
        <color theme="1"/>
        <rFont val="Calibri"/>
        <family val="2"/>
      </rPr>
      <t>B1</t>
    </r>
    <r>
      <rPr>
        <sz val="10"/>
        <color theme="1"/>
        <rFont val="Calibri"/>
        <family val="2"/>
      </rPr>
      <t>W</t>
    </r>
    <r>
      <rPr>
        <vertAlign val="subscript"/>
        <sz val="10"/>
        <color theme="1"/>
        <rFont val="Calibri"/>
        <family val="2"/>
      </rPr>
      <t>B</t>
    </r>
    <r>
      <rPr>
        <sz val="10"/>
        <color theme="1"/>
        <rFont val="Calibri"/>
        <family val="2"/>
      </rPr>
      <t>C</t>
    </r>
    <r>
      <rPr>
        <vertAlign val="subscript"/>
        <sz val="10"/>
        <color theme="1"/>
        <rFont val="Calibri"/>
        <family val="2"/>
      </rPr>
      <t>WD</t>
    </r>
    <r>
      <rPr>
        <sz val="11"/>
        <color theme="1"/>
        <rFont val="Calibri"/>
        <family val="2"/>
      </rPr>
      <t/>
    </r>
  </si>
  <si>
    <r>
      <t>[k</t>
    </r>
    <r>
      <rPr>
        <vertAlign val="subscript"/>
        <sz val="10"/>
        <color theme="1"/>
        <rFont val="Calibri"/>
        <family val="2"/>
      </rPr>
      <t>BM</t>
    </r>
    <r>
      <rPr>
        <sz val="10"/>
        <color theme="1"/>
        <rFont val="Calibri"/>
        <family val="2"/>
      </rPr>
      <t>/(k</t>
    </r>
    <r>
      <rPr>
        <vertAlign val="subscript"/>
        <sz val="10"/>
        <color theme="1"/>
        <rFont val="Calibri"/>
        <family val="2"/>
      </rPr>
      <t>B2</t>
    </r>
    <r>
      <rPr>
        <sz val="10"/>
        <color theme="1"/>
        <rFont val="Calibri"/>
        <family val="2"/>
      </rPr>
      <t>+k</t>
    </r>
    <r>
      <rPr>
        <vertAlign val="subscript"/>
        <sz val="10"/>
        <color theme="1"/>
        <rFont val="Calibri"/>
        <family val="2"/>
      </rPr>
      <t>BG</t>
    </r>
    <r>
      <rPr>
        <sz val="10"/>
        <color theme="1"/>
        <rFont val="Calibri"/>
        <family val="2"/>
      </rPr>
      <t>+k</t>
    </r>
    <r>
      <rPr>
        <vertAlign val="subscript"/>
        <sz val="10"/>
        <color theme="1"/>
        <rFont val="Calibri"/>
        <family val="2"/>
      </rPr>
      <t>BM</t>
    </r>
    <r>
      <rPr>
        <sz val="10"/>
        <color theme="1"/>
        <rFont val="Calibri"/>
        <family val="2"/>
      </rPr>
      <t>+k</t>
    </r>
    <r>
      <rPr>
        <vertAlign val="subscript"/>
        <sz val="10"/>
        <color theme="1"/>
        <rFont val="Calibri"/>
        <family val="2"/>
      </rPr>
      <t>GD</t>
    </r>
    <r>
      <rPr>
        <sz val="10"/>
        <color theme="1"/>
        <rFont val="Calibri"/>
        <family val="2"/>
      </rPr>
      <t>)]k</t>
    </r>
    <r>
      <rPr>
        <vertAlign val="subscript"/>
        <sz val="10"/>
        <color theme="1"/>
        <rFont val="Calibri"/>
        <family val="2"/>
      </rPr>
      <t>B1</t>
    </r>
    <r>
      <rPr>
        <sz val="10"/>
        <color theme="1"/>
        <rFont val="Calibri"/>
        <family val="2"/>
      </rPr>
      <t>W</t>
    </r>
    <r>
      <rPr>
        <vertAlign val="subscript"/>
        <sz val="10"/>
        <color theme="1"/>
        <rFont val="Calibri"/>
        <family val="2"/>
      </rPr>
      <t>B</t>
    </r>
    <r>
      <rPr>
        <sz val="10"/>
        <color theme="1"/>
        <rFont val="Calibri"/>
        <family val="2"/>
      </rPr>
      <t>C</t>
    </r>
    <r>
      <rPr>
        <vertAlign val="subscript"/>
        <sz val="10"/>
        <color theme="1"/>
        <rFont val="Calibri"/>
        <family val="2"/>
      </rPr>
      <t>WD</t>
    </r>
    <r>
      <rPr>
        <sz val="11"/>
        <color theme="1"/>
        <rFont val="Calibri"/>
        <family val="2"/>
      </rPr>
      <t/>
    </r>
  </si>
  <si>
    <r>
      <t>k</t>
    </r>
    <r>
      <rPr>
        <vertAlign val="subscript"/>
        <sz val="10"/>
        <color theme="1"/>
        <rFont val="Calibri"/>
        <family val="2"/>
      </rPr>
      <t>BG</t>
    </r>
    <r>
      <rPr>
        <sz val="10"/>
        <color theme="1"/>
        <rFont val="Calibri"/>
        <family val="2"/>
      </rPr>
      <t>W</t>
    </r>
    <r>
      <rPr>
        <vertAlign val="subscript"/>
        <sz val="10"/>
        <color theme="1"/>
        <rFont val="Calibri"/>
        <family val="2"/>
      </rPr>
      <t>B</t>
    </r>
    <r>
      <rPr>
        <sz val="10"/>
        <color theme="1"/>
        <rFont val="Calibri"/>
        <family val="2"/>
      </rPr>
      <t>C</t>
    </r>
    <r>
      <rPr>
        <vertAlign val="subscript"/>
        <sz val="10"/>
        <color theme="1"/>
        <rFont val="Calibri"/>
        <family val="2"/>
      </rPr>
      <t>B</t>
    </r>
  </si>
  <si>
    <r>
      <t>[k</t>
    </r>
    <r>
      <rPr>
        <vertAlign val="subscript"/>
        <sz val="10"/>
        <color theme="1"/>
        <rFont val="Calibri"/>
        <family val="2"/>
      </rPr>
      <t>GB</t>
    </r>
    <r>
      <rPr>
        <sz val="10"/>
        <rFont val="Calibri"/>
        <family val="2"/>
      </rPr>
      <t>/(k</t>
    </r>
    <r>
      <rPr>
        <vertAlign val="subscript"/>
        <sz val="10"/>
        <color theme="1"/>
        <rFont val="Calibri"/>
        <family val="2"/>
      </rPr>
      <t>GB</t>
    </r>
    <r>
      <rPr>
        <sz val="10"/>
        <rFont val="Calibri"/>
        <family val="2"/>
      </rPr>
      <t>+k</t>
    </r>
    <r>
      <rPr>
        <vertAlign val="subscript"/>
        <sz val="10"/>
        <color theme="1"/>
        <rFont val="Calibri"/>
        <family val="2"/>
      </rPr>
      <t>GE</t>
    </r>
    <r>
      <rPr>
        <sz val="10"/>
        <rFont val="Calibri"/>
        <family val="2"/>
      </rPr>
      <t>+k</t>
    </r>
    <r>
      <rPr>
        <vertAlign val="subscript"/>
        <sz val="10"/>
        <color theme="1"/>
        <rFont val="Calibri"/>
        <family val="2"/>
      </rPr>
      <t>GM</t>
    </r>
    <r>
      <rPr>
        <sz val="10"/>
        <rFont val="Calibri"/>
        <family val="2"/>
      </rPr>
      <t>)]k</t>
    </r>
    <r>
      <rPr>
        <vertAlign val="subscript"/>
        <sz val="10"/>
        <color theme="1"/>
        <rFont val="Calibri"/>
        <family val="2"/>
      </rPr>
      <t>BG</t>
    </r>
    <r>
      <rPr>
        <sz val="10"/>
        <rFont val="Calibri"/>
        <family val="2"/>
      </rPr>
      <t>W</t>
    </r>
    <r>
      <rPr>
        <vertAlign val="subscript"/>
        <sz val="10"/>
        <rFont val="Calibri"/>
        <family val="2"/>
      </rPr>
      <t>B</t>
    </r>
    <r>
      <rPr>
        <sz val="10"/>
        <rFont val="Calibri"/>
        <family val="2"/>
      </rPr>
      <t>C</t>
    </r>
    <r>
      <rPr>
        <vertAlign val="subscript"/>
        <sz val="10"/>
        <rFont val="Calibri"/>
        <family val="2"/>
      </rPr>
      <t>B</t>
    </r>
  </si>
  <si>
    <r>
      <t>[k</t>
    </r>
    <r>
      <rPr>
        <vertAlign val="subscript"/>
        <sz val="10"/>
        <color theme="1"/>
        <rFont val="Calibri"/>
        <family val="2"/>
      </rPr>
      <t>GE</t>
    </r>
    <r>
      <rPr>
        <sz val="10"/>
        <rFont val="Calibri"/>
        <family val="2"/>
      </rPr>
      <t>/(k</t>
    </r>
    <r>
      <rPr>
        <vertAlign val="subscript"/>
        <sz val="10"/>
        <color theme="1"/>
        <rFont val="Calibri"/>
        <family val="2"/>
      </rPr>
      <t>GB</t>
    </r>
    <r>
      <rPr>
        <sz val="10"/>
        <rFont val="Calibri"/>
        <family val="2"/>
      </rPr>
      <t>+k</t>
    </r>
    <r>
      <rPr>
        <vertAlign val="subscript"/>
        <sz val="10"/>
        <color theme="1"/>
        <rFont val="Calibri"/>
        <family val="2"/>
      </rPr>
      <t>GE</t>
    </r>
    <r>
      <rPr>
        <sz val="10"/>
        <rFont val="Calibri"/>
        <family val="2"/>
      </rPr>
      <t>+k</t>
    </r>
    <r>
      <rPr>
        <vertAlign val="subscript"/>
        <sz val="10"/>
        <color theme="1"/>
        <rFont val="Calibri"/>
        <family val="2"/>
      </rPr>
      <t>GM</t>
    </r>
    <r>
      <rPr>
        <sz val="10"/>
        <rFont val="Calibri"/>
        <family val="2"/>
      </rPr>
      <t>)]k</t>
    </r>
    <r>
      <rPr>
        <vertAlign val="subscript"/>
        <sz val="10"/>
        <color theme="1"/>
        <rFont val="Calibri"/>
        <family val="2"/>
      </rPr>
      <t>BG</t>
    </r>
    <r>
      <rPr>
        <sz val="10"/>
        <rFont val="Calibri"/>
        <family val="2"/>
      </rPr>
      <t>W</t>
    </r>
    <r>
      <rPr>
        <vertAlign val="subscript"/>
        <sz val="10"/>
        <color theme="1"/>
        <rFont val="Calibri"/>
        <family val="2"/>
      </rPr>
      <t>B</t>
    </r>
    <r>
      <rPr>
        <sz val="10"/>
        <color theme="1"/>
        <rFont val="Calibri"/>
        <family val="2"/>
      </rPr>
      <t>C</t>
    </r>
    <r>
      <rPr>
        <vertAlign val="subscript"/>
        <sz val="10"/>
        <color theme="1"/>
        <rFont val="Calibri"/>
        <family val="2"/>
      </rPr>
      <t>B</t>
    </r>
  </si>
  <si>
    <r>
      <t>[k</t>
    </r>
    <r>
      <rPr>
        <vertAlign val="subscript"/>
        <sz val="10"/>
        <color theme="1"/>
        <rFont val="Calibri"/>
        <family val="2"/>
      </rPr>
      <t>GM</t>
    </r>
    <r>
      <rPr>
        <sz val="10"/>
        <rFont val="Calibri"/>
        <family val="2"/>
      </rPr>
      <t>/(k</t>
    </r>
    <r>
      <rPr>
        <vertAlign val="subscript"/>
        <sz val="10"/>
        <color theme="1"/>
        <rFont val="Calibri"/>
        <family val="2"/>
      </rPr>
      <t>GB</t>
    </r>
    <r>
      <rPr>
        <sz val="10"/>
        <rFont val="Calibri"/>
        <family val="2"/>
      </rPr>
      <t>+k</t>
    </r>
    <r>
      <rPr>
        <vertAlign val="subscript"/>
        <sz val="10"/>
        <color theme="1"/>
        <rFont val="Calibri"/>
        <family val="2"/>
      </rPr>
      <t>GE</t>
    </r>
    <r>
      <rPr>
        <sz val="10"/>
        <rFont val="Calibri"/>
        <family val="2"/>
      </rPr>
      <t>+k</t>
    </r>
    <r>
      <rPr>
        <vertAlign val="subscript"/>
        <sz val="10"/>
        <color theme="1"/>
        <rFont val="Calibri"/>
        <family val="2"/>
      </rPr>
      <t>GM</t>
    </r>
    <r>
      <rPr>
        <sz val="10"/>
        <rFont val="Calibri"/>
        <family val="2"/>
      </rPr>
      <t>)]k</t>
    </r>
    <r>
      <rPr>
        <vertAlign val="subscript"/>
        <sz val="10"/>
        <color theme="1"/>
        <rFont val="Calibri"/>
        <family val="2"/>
      </rPr>
      <t>BG</t>
    </r>
    <r>
      <rPr>
        <sz val="10"/>
        <rFont val="Calibri"/>
        <family val="2"/>
      </rPr>
      <t>W</t>
    </r>
    <r>
      <rPr>
        <vertAlign val="subscript"/>
        <sz val="10"/>
        <color theme="1"/>
        <rFont val="Calibri"/>
        <family val="2"/>
      </rPr>
      <t>B</t>
    </r>
    <r>
      <rPr>
        <sz val="10"/>
        <color theme="1"/>
        <rFont val="Calibri"/>
        <family val="2"/>
      </rPr>
      <t>C</t>
    </r>
    <r>
      <rPr>
        <vertAlign val="subscript"/>
        <sz val="10"/>
        <color theme="1"/>
        <rFont val="Calibri"/>
        <family val="2"/>
      </rPr>
      <t>B</t>
    </r>
  </si>
  <si>
    <r>
      <t>k</t>
    </r>
    <r>
      <rPr>
        <vertAlign val="subscript"/>
        <sz val="10"/>
        <color theme="1"/>
        <rFont val="Calibri"/>
        <family val="2"/>
      </rPr>
      <t>GB</t>
    </r>
    <r>
      <rPr>
        <sz val="10"/>
        <color theme="1"/>
        <rFont val="Calibri"/>
        <family val="2"/>
      </rPr>
      <t>W</t>
    </r>
    <r>
      <rPr>
        <vertAlign val="subscript"/>
        <sz val="10"/>
        <color theme="1"/>
        <rFont val="Calibri"/>
        <family val="2"/>
      </rPr>
      <t>G</t>
    </r>
    <r>
      <rPr>
        <sz val="10"/>
        <color theme="1"/>
        <rFont val="Calibri"/>
        <family val="2"/>
      </rPr>
      <t>C</t>
    </r>
    <r>
      <rPr>
        <vertAlign val="subscript"/>
        <sz val="10"/>
        <color theme="1"/>
        <rFont val="Calibri"/>
        <family val="2"/>
      </rPr>
      <t>G</t>
    </r>
  </si>
  <si>
    <r>
      <t>Note: M</t>
    </r>
    <r>
      <rPr>
        <vertAlign val="subscript"/>
        <sz val="10"/>
        <rFont val="Calibri"/>
        <family val="2"/>
      </rPr>
      <t>B</t>
    </r>
    <r>
      <rPr>
        <sz val="10"/>
        <rFont val="Calibri"/>
        <family val="2"/>
      </rPr>
      <t xml:space="preserve"> = W</t>
    </r>
    <r>
      <rPr>
        <vertAlign val="subscript"/>
        <sz val="10"/>
        <rFont val="Calibri"/>
        <family val="2"/>
      </rPr>
      <t>B</t>
    </r>
    <r>
      <rPr>
        <sz val="10"/>
        <rFont val="Calibri"/>
        <family val="2"/>
      </rPr>
      <t>C</t>
    </r>
    <r>
      <rPr>
        <vertAlign val="subscript"/>
        <sz val="10"/>
        <rFont val="Calibri"/>
        <family val="2"/>
      </rPr>
      <t>B</t>
    </r>
    <r>
      <rPr>
        <sz val="10"/>
        <rFont val="Calibri"/>
        <family val="2"/>
      </rPr>
      <t>; M</t>
    </r>
    <r>
      <rPr>
        <vertAlign val="subscript"/>
        <sz val="10"/>
        <rFont val="Calibri"/>
        <family val="2"/>
      </rPr>
      <t>G</t>
    </r>
    <r>
      <rPr>
        <sz val="10"/>
        <rFont val="Calibri"/>
        <family val="2"/>
      </rPr>
      <t xml:space="preserve"> = W</t>
    </r>
    <r>
      <rPr>
        <vertAlign val="subscript"/>
        <sz val="10"/>
        <rFont val="Calibri"/>
        <family val="2"/>
      </rPr>
      <t>G</t>
    </r>
    <r>
      <rPr>
        <sz val="10"/>
        <rFont val="Calibri"/>
        <family val="2"/>
      </rPr>
      <t>C</t>
    </r>
    <r>
      <rPr>
        <vertAlign val="subscript"/>
        <sz val="10"/>
        <rFont val="Calibri"/>
        <family val="2"/>
      </rPr>
      <t>G</t>
    </r>
  </si>
  <si>
    <r>
      <t>[k</t>
    </r>
    <r>
      <rPr>
        <vertAlign val="subscript"/>
        <sz val="10"/>
        <color theme="1"/>
        <rFont val="Calibri"/>
        <family val="2"/>
      </rPr>
      <t>BG</t>
    </r>
    <r>
      <rPr>
        <sz val="10"/>
        <color theme="1"/>
        <rFont val="Calibri"/>
        <family val="2"/>
      </rPr>
      <t>/(k</t>
    </r>
    <r>
      <rPr>
        <vertAlign val="subscript"/>
        <sz val="10"/>
        <color theme="1"/>
        <rFont val="Calibri"/>
        <family val="2"/>
      </rPr>
      <t>B2</t>
    </r>
    <r>
      <rPr>
        <sz val="10"/>
        <color theme="1"/>
        <rFont val="Calibri"/>
        <family val="2"/>
      </rPr>
      <t>+k</t>
    </r>
    <r>
      <rPr>
        <vertAlign val="subscript"/>
        <sz val="10"/>
        <color theme="1"/>
        <rFont val="Calibri"/>
        <family val="2"/>
      </rPr>
      <t>BG</t>
    </r>
    <r>
      <rPr>
        <sz val="10"/>
        <color theme="1"/>
        <rFont val="Calibri"/>
        <family val="2"/>
      </rPr>
      <t>+k</t>
    </r>
    <r>
      <rPr>
        <vertAlign val="subscript"/>
        <sz val="10"/>
        <color theme="1"/>
        <rFont val="Calibri"/>
        <family val="2"/>
      </rPr>
      <t>BM</t>
    </r>
    <r>
      <rPr>
        <sz val="10"/>
        <color theme="1"/>
        <rFont val="Calibri"/>
        <family val="2"/>
      </rPr>
      <t>+k</t>
    </r>
    <r>
      <rPr>
        <vertAlign val="subscript"/>
        <sz val="10"/>
        <color theme="1"/>
        <rFont val="Calibri"/>
        <family val="2"/>
      </rPr>
      <t>GD</t>
    </r>
    <r>
      <rPr>
        <sz val="10"/>
        <color theme="1"/>
        <rFont val="Calibri"/>
        <family val="2"/>
      </rPr>
      <t>)]k</t>
    </r>
    <r>
      <rPr>
        <vertAlign val="subscript"/>
        <sz val="10"/>
        <color theme="1"/>
        <rFont val="Calibri"/>
        <family val="2"/>
      </rPr>
      <t>GB</t>
    </r>
    <r>
      <rPr>
        <sz val="10"/>
        <color theme="1"/>
        <rFont val="Calibri"/>
        <family val="2"/>
      </rPr>
      <t>W</t>
    </r>
    <r>
      <rPr>
        <vertAlign val="subscript"/>
        <sz val="10"/>
        <color theme="1"/>
        <rFont val="Calibri"/>
        <family val="2"/>
      </rPr>
      <t>G</t>
    </r>
    <r>
      <rPr>
        <sz val="10"/>
        <color theme="1"/>
        <rFont val="Calibri"/>
        <family val="2"/>
      </rPr>
      <t>C</t>
    </r>
    <r>
      <rPr>
        <vertAlign val="subscript"/>
        <sz val="10"/>
        <color theme="1"/>
        <rFont val="Calibri"/>
        <family val="2"/>
      </rPr>
      <t>G</t>
    </r>
  </si>
  <si>
    <r>
      <t>[k</t>
    </r>
    <r>
      <rPr>
        <vertAlign val="subscript"/>
        <sz val="10"/>
        <color theme="1"/>
        <rFont val="Calibri"/>
        <family val="2"/>
      </rPr>
      <t>B2</t>
    </r>
    <r>
      <rPr>
        <sz val="10"/>
        <color theme="1"/>
        <rFont val="Calibri"/>
        <family val="2"/>
      </rPr>
      <t>/(k</t>
    </r>
    <r>
      <rPr>
        <vertAlign val="subscript"/>
        <sz val="10"/>
        <color theme="1"/>
        <rFont val="Calibri"/>
        <family val="2"/>
      </rPr>
      <t>B2</t>
    </r>
    <r>
      <rPr>
        <sz val="10"/>
        <color theme="1"/>
        <rFont val="Calibri"/>
        <family val="2"/>
      </rPr>
      <t>+k</t>
    </r>
    <r>
      <rPr>
        <vertAlign val="subscript"/>
        <sz val="10"/>
        <color theme="1"/>
        <rFont val="Calibri"/>
        <family val="2"/>
      </rPr>
      <t>BG</t>
    </r>
    <r>
      <rPr>
        <sz val="10"/>
        <color theme="1"/>
        <rFont val="Calibri"/>
        <family val="2"/>
      </rPr>
      <t>+k</t>
    </r>
    <r>
      <rPr>
        <vertAlign val="subscript"/>
        <sz val="10"/>
        <color theme="1"/>
        <rFont val="Calibri"/>
        <family val="2"/>
      </rPr>
      <t>BM</t>
    </r>
    <r>
      <rPr>
        <sz val="10"/>
        <color theme="1"/>
        <rFont val="Calibri"/>
        <family val="2"/>
      </rPr>
      <t>+k</t>
    </r>
    <r>
      <rPr>
        <vertAlign val="subscript"/>
        <sz val="10"/>
        <color theme="1"/>
        <rFont val="Calibri"/>
        <family val="2"/>
      </rPr>
      <t>GD</t>
    </r>
    <r>
      <rPr>
        <sz val="10"/>
        <color theme="1"/>
        <rFont val="Calibri"/>
        <family val="2"/>
      </rPr>
      <t>)]k</t>
    </r>
    <r>
      <rPr>
        <vertAlign val="subscript"/>
        <sz val="10"/>
        <color theme="1"/>
        <rFont val="Calibri"/>
        <family val="2"/>
      </rPr>
      <t>GB</t>
    </r>
    <r>
      <rPr>
        <sz val="10"/>
        <color theme="1"/>
        <rFont val="Calibri"/>
        <family val="2"/>
      </rPr>
      <t>W</t>
    </r>
    <r>
      <rPr>
        <vertAlign val="subscript"/>
        <sz val="10"/>
        <color theme="1"/>
        <rFont val="Calibri"/>
        <family val="2"/>
      </rPr>
      <t>G</t>
    </r>
    <r>
      <rPr>
        <sz val="10"/>
        <color theme="1"/>
        <rFont val="Calibri"/>
        <family val="2"/>
      </rPr>
      <t>C</t>
    </r>
    <r>
      <rPr>
        <vertAlign val="subscript"/>
        <sz val="10"/>
        <color theme="1"/>
        <rFont val="Calibri"/>
        <family val="2"/>
      </rPr>
      <t>G</t>
    </r>
  </si>
  <si>
    <r>
      <t>k</t>
    </r>
    <r>
      <rPr>
        <vertAlign val="subscript"/>
        <sz val="10"/>
        <color theme="1"/>
        <rFont val="Calibri"/>
        <family val="2"/>
      </rPr>
      <t>BM</t>
    </r>
    <r>
      <rPr>
        <sz val="10"/>
        <color theme="1"/>
        <rFont val="Calibri"/>
        <family val="2"/>
      </rPr>
      <t>W</t>
    </r>
    <r>
      <rPr>
        <vertAlign val="subscript"/>
        <sz val="10"/>
        <color theme="1"/>
        <rFont val="Calibri"/>
        <family val="2"/>
      </rPr>
      <t>B</t>
    </r>
    <r>
      <rPr>
        <sz val="10"/>
        <color theme="1"/>
        <rFont val="Calibri"/>
        <family val="2"/>
      </rPr>
      <t>C</t>
    </r>
    <r>
      <rPr>
        <vertAlign val="subscript"/>
        <sz val="10"/>
        <color theme="1"/>
        <rFont val="Calibri"/>
        <family val="2"/>
      </rPr>
      <t>B</t>
    </r>
  </si>
  <si>
    <r>
      <t>k</t>
    </r>
    <r>
      <rPr>
        <vertAlign val="subscript"/>
        <sz val="10"/>
        <color theme="1"/>
        <rFont val="Calibri"/>
        <family val="2"/>
      </rPr>
      <t>GM</t>
    </r>
    <r>
      <rPr>
        <sz val="10"/>
        <color theme="1"/>
        <rFont val="Calibri"/>
        <family val="2"/>
      </rPr>
      <t>W</t>
    </r>
    <r>
      <rPr>
        <vertAlign val="subscript"/>
        <sz val="10"/>
        <color theme="1"/>
        <rFont val="Calibri"/>
        <family val="2"/>
      </rPr>
      <t>G</t>
    </r>
    <r>
      <rPr>
        <sz val="10"/>
        <color theme="1"/>
        <rFont val="Calibri"/>
        <family val="2"/>
      </rPr>
      <t>C</t>
    </r>
    <r>
      <rPr>
        <vertAlign val="subscript"/>
        <sz val="10"/>
        <color theme="1"/>
        <rFont val="Calibri"/>
        <family val="2"/>
      </rPr>
      <t>G</t>
    </r>
  </si>
  <si>
    <r>
      <t>k</t>
    </r>
    <r>
      <rPr>
        <vertAlign val="subscript"/>
        <sz val="10"/>
        <color theme="1"/>
        <rFont val="Calibri"/>
        <family val="2"/>
      </rPr>
      <t>B2</t>
    </r>
    <r>
      <rPr>
        <sz val="10"/>
        <color theme="1"/>
        <rFont val="Calibri"/>
        <family val="2"/>
      </rPr>
      <t>W</t>
    </r>
    <r>
      <rPr>
        <vertAlign val="subscript"/>
        <sz val="10"/>
        <color theme="1"/>
        <rFont val="Calibri"/>
        <family val="2"/>
      </rPr>
      <t>B</t>
    </r>
    <r>
      <rPr>
        <sz val="10"/>
        <color theme="1"/>
        <rFont val="Calibri"/>
        <family val="2"/>
      </rPr>
      <t>C</t>
    </r>
    <r>
      <rPr>
        <vertAlign val="subscript"/>
        <sz val="10"/>
        <color theme="1"/>
        <rFont val="Calibri"/>
        <family val="2"/>
      </rPr>
      <t>B</t>
    </r>
  </si>
  <si>
    <r>
      <t>k</t>
    </r>
    <r>
      <rPr>
        <vertAlign val="subscript"/>
        <sz val="10"/>
        <color theme="1"/>
        <rFont val="Calibri"/>
        <family val="2"/>
      </rPr>
      <t>GE</t>
    </r>
    <r>
      <rPr>
        <sz val="10"/>
        <color theme="1"/>
        <rFont val="Calibri"/>
        <family val="2"/>
      </rPr>
      <t>W</t>
    </r>
    <r>
      <rPr>
        <vertAlign val="subscript"/>
        <sz val="10"/>
        <color theme="1"/>
        <rFont val="Calibri"/>
        <family val="2"/>
      </rPr>
      <t>G</t>
    </r>
    <r>
      <rPr>
        <sz val="10"/>
        <color theme="1"/>
        <rFont val="Calibri"/>
        <family val="2"/>
      </rPr>
      <t>C</t>
    </r>
    <r>
      <rPr>
        <vertAlign val="subscript"/>
        <sz val="10"/>
        <color theme="1"/>
        <rFont val="Calibri"/>
        <family val="2"/>
      </rPr>
      <t>G</t>
    </r>
  </si>
  <si>
    <r>
      <t>k</t>
    </r>
    <r>
      <rPr>
        <vertAlign val="subscript"/>
        <sz val="10"/>
        <color theme="1"/>
        <rFont val="Calibri"/>
        <family val="2"/>
      </rPr>
      <t>GD</t>
    </r>
    <r>
      <rPr>
        <sz val="10"/>
        <color theme="1"/>
        <rFont val="Calibri"/>
        <family val="2"/>
      </rPr>
      <t>W</t>
    </r>
    <r>
      <rPr>
        <vertAlign val="subscript"/>
        <sz val="10"/>
        <color theme="1"/>
        <rFont val="Calibri"/>
        <family val="2"/>
      </rPr>
      <t>B</t>
    </r>
    <r>
      <rPr>
        <sz val="10"/>
        <color theme="1"/>
        <rFont val="Calibri"/>
        <family val="2"/>
      </rPr>
      <t>C</t>
    </r>
    <r>
      <rPr>
        <vertAlign val="subscript"/>
        <sz val="10"/>
        <color theme="1"/>
        <rFont val="Calibri"/>
        <family val="2"/>
      </rPr>
      <t>B</t>
    </r>
  </si>
  <si>
    <t>Partial derivative calculations</t>
    <phoneticPr fontId="23" type="noConversion"/>
  </si>
  <si>
    <t>Stadard error calculations</t>
    <phoneticPr fontId="23" type="noConversion"/>
  </si>
  <si>
    <t>d</t>
    <phoneticPr fontId="23" type="noConversion"/>
  </si>
  <si>
    <t>Standard error of m</t>
    <phoneticPr fontId="23" type="noConversion"/>
  </si>
  <si>
    <t>Standard error of n</t>
    <phoneticPr fontId="23" type="noConversion"/>
  </si>
  <si>
    <t>Covariance of m and n</t>
    <phoneticPr fontId="23" type="noConversion"/>
  </si>
  <si>
    <t>m</t>
    <phoneticPr fontId="23" type="noConversion"/>
  </si>
  <si>
    <t>n</t>
    <phoneticPr fontId="23" type="noConversion"/>
  </si>
  <si>
    <t>SE(m)</t>
    <phoneticPr fontId="23" type="noConversion"/>
  </si>
  <si>
    <t>SE(n)</t>
    <phoneticPr fontId="23" type="noConversion"/>
  </si>
  <si>
    <t>Cov(m,n)</t>
    <phoneticPr fontId="23" type="noConversion"/>
  </si>
  <si>
    <t>Calculated</t>
    <phoneticPr fontId="23" type="noConversion"/>
  </si>
  <si>
    <t>NA</t>
    <phoneticPr fontId="23" type="noConversion"/>
  </si>
  <si>
    <t>Parameters from nonlinear regression for reference chemicals</t>
    <phoneticPr fontId="23" type="noConversion"/>
  </si>
  <si>
    <r>
      <t>log K</t>
    </r>
    <r>
      <rPr>
        <vertAlign val="subscript"/>
        <sz val="10"/>
        <rFont val="Calibri"/>
        <family val="2"/>
      </rPr>
      <t>OC</t>
    </r>
    <r>
      <rPr>
        <sz val="10"/>
        <rFont val="Calibri"/>
        <family val="2"/>
      </rPr>
      <t xml:space="preserve"> = 0.97·log K</t>
    </r>
    <r>
      <rPr>
        <vertAlign val="subscript"/>
        <sz val="10"/>
        <rFont val="Calibri"/>
        <family val="2"/>
      </rPr>
      <t>OW</t>
    </r>
    <r>
      <rPr>
        <sz val="10"/>
        <rFont val="Calibri"/>
        <family val="2"/>
      </rPr>
      <t>-1.27 (Burkhard 2000)</t>
    </r>
    <phoneticPr fontId="23" type="noConversion"/>
  </si>
  <si>
    <r>
      <t>log K</t>
    </r>
    <r>
      <rPr>
        <vertAlign val="subscript"/>
        <sz val="10"/>
        <color theme="1"/>
        <rFont val="Calibri"/>
        <family val="2"/>
      </rPr>
      <t>NW</t>
    </r>
    <r>
      <rPr>
        <sz val="10"/>
        <color theme="1"/>
        <rFont val="Calibri"/>
        <family val="2"/>
      </rPr>
      <t xml:space="preserve"> = log(θ·K</t>
    </r>
    <r>
      <rPr>
        <vertAlign val="subscript"/>
        <sz val="10"/>
        <color theme="1"/>
        <rFont val="Calibri"/>
        <family val="2"/>
      </rPr>
      <t>OW</t>
    </r>
    <r>
      <rPr>
        <sz val="10"/>
        <color theme="1"/>
        <rFont val="Calibri"/>
        <family val="2"/>
      </rPr>
      <t>) (deBruyn &amp; Gobas 2007)</t>
    </r>
    <phoneticPr fontId="23" type="noConversion"/>
  </si>
  <si>
    <r>
      <t>BMF</t>
    </r>
    <r>
      <rPr>
        <vertAlign val="subscript"/>
        <sz val="10"/>
        <rFont val="Calibri"/>
        <family val="2"/>
      </rPr>
      <t xml:space="preserve">L </t>
    </r>
    <r>
      <rPr>
        <sz val="10"/>
        <rFont val="Calibri"/>
        <family val="2"/>
      </rPr>
      <t>= BMF·L</t>
    </r>
    <r>
      <rPr>
        <vertAlign val="subscript"/>
        <sz val="10"/>
        <rFont val="Calibri"/>
        <family val="2"/>
      </rPr>
      <t>D</t>
    </r>
    <r>
      <rPr>
        <sz val="10"/>
        <rFont val="Calibri"/>
        <family val="2"/>
      </rPr>
      <t>/L</t>
    </r>
    <r>
      <rPr>
        <vertAlign val="subscript"/>
        <sz val="10"/>
        <rFont val="Calibri"/>
        <family val="2"/>
      </rPr>
      <t>B</t>
    </r>
    <phoneticPr fontId="23" type="noConversion"/>
  </si>
  <si>
    <r>
      <t>BCF</t>
    </r>
    <r>
      <rPr>
        <vertAlign val="subscript"/>
        <sz val="10"/>
        <rFont val="Calibri"/>
        <family val="2"/>
      </rPr>
      <t>5%,t</t>
    </r>
    <r>
      <rPr>
        <sz val="10"/>
        <rFont val="Calibri"/>
        <family val="2"/>
      </rPr>
      <t xml:space="preserve"> = 0.05·BCF</t>
    </r>
    <r>
      <rPr>
        <vertAlign val="subscript"/>
        <sz val="10"/>
        <rFont val="Calibri"/>
        <family val="2"/>
      </rPr>
      <t>L,t</t>
    </r>
    <phoneticPr fontId="23" type="noConversion"/>
  </si>
  <si>
    <r>
      <t>G</t>
    </r>
    <r>
      <rPr>
        <vertAlign val="subscript"/>
        <sz val="10"/>
        <rFont val="Calibri"/>
        <family val="2"/>
      </rPr>
      <t>GE</t>
    </r>
    <r>
      <rPr>
        <sz val="10"/>
        <rFont val="Calibri"/>
        <family val="2"/>
      </rPr>
      <t xml:space="preserve"> = [1-ε</t>
    </r>
    <r>
      <rPr>
        <vertAlign val="subscript"/>
        <sz val="10"/>
        <rFont val="Calibri"/>
        <family val="2"/>
      </rPr>
      <t>f</t>
    </r>
    <r>
      <rPr>
        <sz val="10"/>
        <rFont val="Calibri"/>
        <family val="2"/>
      </rPr>
      <t>·ε</t>
    </r>
    <r>
      <rPr>
        <vertAlign val="subscript"/>
        <sz val="10"/>
        <rFont val="Calibri"/>
        <family val="2"/>
      </rPr>
      <t>f,ww</t>
    </r>
    <r>
      <rPr>
        <sz val="10"/>
        <rFont val="Calibri"/>
        <family val="2"/>
      </rPr>
      <t>/ε</t>
    </r>
    <r>
      <rPr>
        <vertAlign val="subscript"/>
        <sz val="10"/>
        <rFont val="Calibri"/>
        <family val="2"/>
      </rPr>
      <t>f,dw</t>
    </r>
    <r>
      <rPr>
        <sz val="10"/>
        <rFont val="Calibri"/>
        <family val="2"/>
      </rPr>
      <t>)]G</t>
    </r>
    <r>
      <rPr>
        <vertAlign val="subscript"/>
        <sz val="10"/>
        <rFont val="Calibri"/>
        <family val="2"/>
      </rPr>
      <t>I</t>
    </r>
    <r>
      <rPr>
        <sz val="10"/>
        <rFont val="Calibri"/>
        <family val="2"/>
      </rPr>
      <t xml:space="preserve"> or G</t>
    </r>
    <r>
      <rPr>
        <vertAlign val="subscript"/>
        <sz val="10"/>
        <rFont val="Calibri"/>
        <family val="2"/>
      </rPr>
      <t xml:space="preserve">GE </t>
    </r>
    <r>
      <rPr>
        <sz val="10"/>
        <rFont val="Calibri"/>
        <family val="2"/>
      </rPr>
      <t>= [(1-ε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]G</t>
    </r>
    <r>
      <rPr>
        <vertAlign val="subscript"/>
        <sz val="10"/>
        <rFont val="Calibri"/>
        <family val="2"/>
      </rPr>
      <t>I</t>
    </r>
    <phoneticPr fontId="23" type="noConversion"/>
  </si>
  <si>
    <t>Change if required</t>
    <phoneticPr fontId="23" type="noConversion"/>
  </si>
  <si>
    <r>
      <t>Concentration of chemical in diet (C</t>
    </r>
    <r>
      <rPr>
        <vertAlign val="subscript"/>
        <sz val="10"/>
        <rFont val="Calibri"/>
        <family val="2"/>
      </rPr>
      <t>D</t>
    </r>
    <r>
      <rPr>
        <sz val="10"/>
        <rFont val="Calibri"/>
        <family val="2"/>
      </rPr>
      <t>)</t>
    </r>
    <phoneticPr fontId="23" type="noConversion"/>
  </si>
  <si>
    <r>
      <t>Dissolved concentration of chemical in water (C</t>
    </r>
    <r>
      <rPr>
        <vertAlign val="subscript"/>
        <sz val="10"/>
        <rFont val="Calibri"/>
        <family val="2"/>
      </rPr>
      <t>WD</t>
    </r>
    <r>
      <rPr>
        <sz val="10"/>
        <rFont val="Calibri"/>
        <family val="2"/>
      </rPr>
      <t>)</t>
    </r>
    <phoneticPr fontId="23" type="noConversion"/>
  </si>
  <si>
    <t>Test  Condition</t>
    <phoneticPr fontId="23" type="noConversion"/>
  </si>
  <si>
    <t>Field  condition</t>
    <phoneticPr fontId="23" type="noConversion"/>
  </si>
  <si>
    <r>
      <t>Concentration of chemical in water (C</t>
    </r>
    <r>
      <rPr>
        <vertAlign val="subscript"/>
        <sz val="10"/>
        <rFont val="Calibri"/>
        <family val="2"/>
      </rPr>
      <t>WT</t>
    </r>
    <r>
      <rPr>
        <sz val="10"/>
        <rFont val="Calibri"/>
        <family val="2"/>
      </rPr>
      <t>)</t>
    </r>
    <phoneticPr fontId="23" type="noConversion"/>
  </si>
  <si>
    <t>Concentrations under field condition</t>
    <phoneticPr fontId="23" type="noConversion"/>
  </si>
  <si>
    <t>Equation</t>
    <phoneticPr fontId="23" type="noConversion"/>
  </si>
  <si>
    <t>ADME Profile under test condition</t>
    <phoneticPr fontId="23" type="noConversion"/>
  </si>
  <si>
    <t>ADME Profile under field condition</t>
    <phoneticPr fontId="23" type="noConversion"/>
  </si>
  <si>
    <t xml:space="preserve"> </t>
  </si>
  <si>
    <t>Biomagnification factor (lipid equivalent)</t>
    <phoneticPr fontId="23" type="noConversion"/>
  </si>
  <si>
    <t>Bioconcentration factor (lipid equivalent, total)</t>
    <phoneticPr fontId="23" type="noConversion"/>
  </si>
  <si>
    <t>Ave(t)</t>
    <phoneticPr fontId="23" type="noConversion"/>
  </si>
  <si>
    <t>Mean of the experimental sampling time in the depuration phase</t>
    <phoneticPr fontId="23" type="noConversion"/>
  </si>
  <si>
    <r>
      <t>ɸ</t>
    </r>
    <r>
      <rPr>
        <vertAlign val="subscript"/>
        <sz val="10"/>
        <rFont val="Calibri"/>
        <family val="2"/>
      </rPr>
      <t>BL</t>
    </r>
    <phoneticPr fontId="23" type="noConversion"/>
  </si>
  <si>
    <t>Calcualted</t>
    <phoneticPr fontId="23" type="noConversion"/>
  </si>
  <si>
    <t>NA</t>
    <phoneticPr fontId="23" type="noConversion"/>
  </si>
  <si>
    <t>NA</t>
    <phoneticPr fontId="23" type="noConversion"/>
  </si>
  <si>
    <t>χ</t>
    <phoneticPr fontId="23" type="noConversion"/>
  </si>
  <si>
    <t>Lipid content of fish body</t>
    <phoneticPr fontId="23" type="noConversion"/>
  </si>
  <si>
    <t>Lipid-equivalent concentration in diet</t>
    <phoneticPr fontId="23" type="noConversion"/>
  </si>
  <si>
    <t>NA</t>
    <phoneticPr fontId="23" type="noConversion"/>
  </si>
  <si>
    <t>Logarithm of nondigestible organic matter-water partition coefficient</t>
    <phoneticPr fontId="23" type="noConversion"/>
  </si>
  <si>
    <r>
      <t>ɸ</t>
    </r>
    <r>
      <rPr>
        <vertAlign val="subscript"/>
        <sz val="10"/>
        <rFont val="Calibri"/>
        <family val="2"/>
      </rPr>
      <t>BW</t>
    </r>
    <phoneticPr fontId="23" type="noConversion"/>
  </si>
  <si>
    <r>
      <t>ɸ</t>
    </r>
    <r>
      <rPr>
        <vertAlign val="subscript"/>
        <sz val="10"/>
        <rFont val="Calibri"/>
        <family val="2"/>
      </rPr>
      <t>BW</t>
    </r>
    <r>
      <rPr>
        <sz val="10"/>
        <rFont val="Calibri"/>
        <family val="2"/>
      </rPr>
      <t xml:space="preserve"> = 1-ɸ</t>
    </r>
    <r>
      <rPr>
        <vertAlign val="subscript"/>
        <sz val="10"/>
        <rFont val="Calibri"/>
        <family val="2"/>
      </rPr>
      <t>BL</t>
    </r>
    <r>
      <rPr>
        <sz val="10"/>
        <rFont val="Calibri"/>
        <family val="2"/>
      </rPr>
      <t>-ɸ</t>
    </r>
    <r>
      <rPr>
        <vertAlign val="subscript"/>
        <sz val="10"/>
        <rFont val="Calibri"/>
        <family val="2"/>
      </rPr>
      <t>BP</t>
    </r>
    <phoneticPr fontId="23" type="noConversion"/>
  </si>
  <si>
    <r>
      <t>ɸ</t>
    </r>
    <r>
      <rPr>
        <vertAlign val="subscript"/>
        <sz val="10"/>
        <rFont val="Calibri"/>
        <family val="2"/>
      </rPr>
      <t>DN</t>
    </r>
    <r>
      <rPr>
        <sz val="10"/>
        <rFont val="Calibri"/>
        <family val="2"/>
      </rPr>
      <t xml:space="preserve"> = 1-ɸ</t>
    </r>
    <r>
      <rPr>
        <vertAlign val="subscript"/>
        <sz val="10"/>
        <rFont val="Calibri"/>
        <family val="2"/>
      </rPr>
      <t>DL</t>
    </r>
    <r>
      <rPr>
        <sz val="10"/>
        <rFont val="Calibri"/>
        <family val="2"/>
      </rPr>
      <t>-ɸ</t>
    </r>
    <r>
      <rPr>
        <vertAlign val="subscript"/>
        <sz val="10"/>
        <rFont val="Calibri"/>
        <family val="2"/>
      </rPr>
      <t>DP</t>
    </r>
    <r>
      <rPr>
        <sz val="10"/>
        <rFont val="Calibri"/>
        <family val="2"/>
      </rPr>
      <t>-ɸ</t>
    </r>
    <r>
      <rPr>
        <vertAlign val="subscript"/>
        <sz val="10"/>
        <rFont val="Calibri"/>
        <family val="2"/>
      </rPr>
      <t>DW</t>
    </r>
    <phoneticPr fontId="23" type="noConversion"/>
  </si>
  <si>
    <r>
      <t>L</t>
    </r>
    <r>
      <rPr>
        <vertAlign val="subscript"/>
        <sz val="10"/>
        <rFont val="Calibri"/>
        <family val="2"/>
      </rPr>
      <t>B</t>
    </r>
    <r>
      <rPr>
        <sz val="10"/>
        <rFont val="Calibri"/>
        <family val="2"/>
      </rPr>
      <t>= ɸ</t>
    </r>
    <r>
      <rPr>
        <vertAlign val="subscript"/>
        <sz val="10"/>
        <rFont val="Calibri"/>
        <family val="2"/>
      </rPr>
      <t>BL</t>
    </r>
    <r>
      <rPr>
        <sz val="10"/>
        <rFont val="Calibri"/>
        <family val="2"/>
      </rPr>
      <t>+ɸ</t>
    </r>
    <r>
      <rPr>
        <vertAlign val="subscript"/>
        <sz val="10"/>
        <rFont val="Calibri"/>
        <family val="2"/>
      </rPr>
      <t>BP</t>
    </r>
    <r>
      <rPr>
        <sz val="10"/>
        <rFont val="Calibri"/>
        <family val="2"/>
      </rPr>
      <t>·χ+ɸ</t>
    </r>
    <r>
      <rPr>
        <vertAlign val="subscript"/>
        <sz val="10"/>
        <rFont val="Calibri"/>
        <family val="2"/>
      </rPr>
      <t>BW</t>
    </r>
    <r>
      <rPr>
        <sz val="10"/>
        <rFont val="Calibri"/>
        <family val="2"/>
      </rPr>
      <t>/K</t>
    </r>
    <r>
      <rPr>
        <vertAlign val="subscript"/>
        <sz val="10"/>
        <rFont val="Calibri"/>
        <family val="2"/>
      </rPr>
      <t>OW</t>
    </r>
    <phoneticPr fontId="23" type="noConversion"/>
  </si>
  <si>
    <r>
      <t>L</t>
    </r>
    <r>
      <rPr>
        <vertAlign val="subscript"/>
        <sz val="10"/>
        <rFont val="Calibri"/>
        <family val="2"/>
      </rPr>
      <t>D</t>
    </r>
    <r>
      <rPr>
        <sz val="10"/>
        <rFont val="Calibri"/>
        <family val="2"/>
      </rPr>
      <t xml:space="preserve"> = ɸ</t>
    </r>
    <r>
      <rPr>
        <vertAlign val="subscript"/>
        <sz val="10"/>
        <rFont val="Calibri"/>
        <family val="2"/>
      </rPr>
      <t>DL</t>
    </r>
    <r>
      <rPr>
        <sz val="10"/>
        <rFont val="Calibri"/>
        <family val="2"/>
      </rPr>
      <t>+ɸ</t>
    </r>
    <r>
      <rPr>
        <vertAlign val="subscript"/>
        <sz val="10"/>
        <rFont val="Calibri"/>
        <family val="2"/>
      </rPr>
      <t>DP</t>
    </r>
    <r>
      <rPr>
        <sz val="10"/>
        <rFont val="Calibri"/>
        <family val="2"/>
      </rPr>
      <t>·χ+ɸ</t>
    </r>
    <r>
      <rPr>
        <vertAlign val="subscript"/>
        <sz val="10"/>
        <rFont val="Calibri"/>
        <family val="2"/>
      </rPr>
      <t>DN</t>
    </r>
    <r>
      <rPr>
        <sz val="10"/>
        <rFont val="Calibri"/>
        <family val="2"/>
      </rPr>
      <t>·θ+ɸ</t>
    </r>
    <r>
      <rPr>
        <vertAlign val="subscript"/>
        <sz val="10"/>
        <rFont val="Calibri"/>
        <family val="2"/>
      </rPr>
      <t>DW</t>
    </r>
    <r>
      <rPr>
        <sz val="10"/>
        <rFont val="Calibri"/>
        <family val="2"/>
      </rPr>
      <t>/K</t>
    </r>
    <r>
      <rPr>
        <vertAlign val="subscript"/>
        <sz val="10"/>
        <rFont val="Calibri"/>
        <family val="2"/>
      </rPr>
      <t>OW</t>
    </r>
    <phoneticPr fontId="23" type="noConversion"/>
  </si>
  <si>
    <r>
      <t>C</t>
    </r>
    <r>
      <rPr>
        <vertAlign val="subscript"/>
        <sz val="10"/>
        <rFont val="Calibri"/>
        <family val="2"/>
      </rPr>
      <t>B</t>
    </r>
    <r>
      <rPr>
        <sz val="10"/>
        <rFont val="Calibri"/>
        <family val="2"/>
      </rPr>
      <t xml:space="preserve"> = {k</t>
    </r>
    <r>
      <rPr>
        <vertAlign val="subscript"/>
        <sz val="10"/>
        <rFont val="Calibri"/>
        <family val="2"/>
      </rPr>
      <t>B1</t>
    </r>
    <r>
      <rPr>
        <sz val="10"/>
        <rFont val="Calibri"/>
        <family val="2"/>
      </rPr>
      <t>·C</t>
    </r>
    <r>
      <rPr>
        <vertAlign val="subscript"/>
        <sz val="10"/>
        <rFont val="Calibri"/>
        <family val="2"/>
      </rPr>
      <t>WD</t>
    </r>
    <r>
      <rPr>
        <sz val="10"/>
        <rFont val="Calibri"/>
        <family val="2"/>
      </rPr>
      <t>+[k</t>
    </r>
    <r>
      <rPr>
        <vertAlign val="subscript"/>
        <sz val="10"/>
        <rFont val="Calibri"/>
        <family val="2"/>
      </rPr>
      <t>GB</t>
    </r>
    <r>
      <rPr>
        <sz val="10"/>
        <rFont val="Calibri"/>
        <family val="2"/>
      </rPr>
      <t>/(k</t>
    </r>
    <r>
      <rPr>
        <vertAlign val="subscript"/>
        <sz val="10"/>
        <rFont val="Calibri"/>
        <family val="2"/>
      </rPr>
      <t>GB</t>
    </r>
    <r>
      <rPr>
        <sz val="10"/>
        <rFont val="Calibri"/>
        <family val="2"/>
      </rPr>
      <t>+k</t>
    </r>
    <r>
      <rPr>
        <vertAlign val="subscript"/>
        <sz val="10"/>
        <rFont val="Calibri"/>
        <family val="2"/>
      </rPr>
      <t>GE</t>
    </r>
    <r>
      <rPr>
        <sz val="10"/>
        <rFont val="Calibri"/>
        <family val="2"/>
      </rPr>
      <t>+k</t>
    </r>
    <r>
      <rPr>
        <vertAlign val="subscript"/>
        <sz val="10"/>
        <rFont val="Calibri"/>
        <family val="2"/>
      </rPr>
      <t>GM</t>
    </r>
    <r>
      <rPr>
        <sz val="10"/>
        <rFont val="Calibri"/>
        <family val="2"/>
      </rPr>
      <t>)]·F</t>
    </r>
    <r>
      <rPr>
        <vertAlign val="subscript"/>
        <sz val="10"/>
        <rFont val="Calibri"/>
        <family val="2"/>
      </rPr>
      <t>D</t>
    </r>
    <r>
      <rPr>
        <sz val="10"/>
        <rFont val="Calibri"/>
        <family val="2"/>
      </rPr>
      <t>·C</t>
    </r>
    <r>
      <rPr>
        <vertAlign val="subscript"/>
        <sz val="10"/>
        <rFont val="Calibri"/>
        <family val="2"/>
      </rPr>
      <t>D</t>
    </r>
    <r>
      <rPr>
        <sz val="10"/>
        <rFont val="Calibri"/>
        <family val="2"/>
      </rPr>
      <t>}/{k</t>
    </r>
    <r>
      <rPr>
        <vertAlign val="subscript"/>
        <sz val="10"/>
        <rFont val="Calibri"/>
        <family val="2"/>
      </rPr>
      <t>B2</t>
    </r>
    <r>
      <rPr>
        <sz val="10"/>
        <rFont val="Calibri"/>
        <family val="2"/>
      </rPr>
      <t>+k</t>
    </r>
    <r>
      <rPr>
        <vertAlign val="subscript"/>
        <sz val="10"/>
        <rFont val="Calibri"/>
        <family val="2"/>
      </rPr>
      <t>BG</t>
    </r>
    <r>
      <rPr>
        <sz val="10"/>
        <rFont val="Calibri"/>
        <family val="2"/>
      </rPr>
      <t>·[(k</t>
    </r>
    <r>
      <rPr>
        <vertAlign val="subscript"/>
        <sz val="10"/>
        <rFont val="Calibri"/>
        <family val="2"/>
      </rPr>
      <t>GE</t>
    </r>
    <r>
      <rPr>
        <sz val="10"/>
        <rFont val="Calibri"/>
        <family val="2"/>
      </rPr>
      <t>+k</t>
    </r>
    <r>
      <rPr>
        <vertAlign val="subscript"/>
        <sz val="10"/>
        <rFont val="Calibri"/>
        <family val="2"/>
      </rPr>
      <t>GM</t>
    </r>
    <r>
      <rPr>
        <sz val="10"/>
        <rFont val="Calibri"/>
        <family val="2"/>
      </rPr>
      <t>)/(k</t>
    </r>
    <r>
      <rPr>
        <vertAlign val="subscript"/>
        <sz val="10"/>
        <rFont val="Calibri"/>
        <family val="2"/>
      </rPr>
      <t>GB</t>
    </r>
    <r>
      <rPr>
        <sz val="10"/>
        <rFont val="Calibri"/>
        <family val="2"/>
      </rPr>
      <t>+k</t>
    </r>
    <r>
      <rPr>
        <vertAlign val="subscript"/>
        <sz val="10"/>
        <rFont val="Calibri"/>
        <family val="2"/>
      </rPr>
      <t>GE</t>
    </r>
    <r>
      <rPr>
        <sz val="10"/>
        <rFont val="Calibri"/>
        <family val="2"/>
      </rPr>
      <t>+k</t>
    </r>
    <r>
      <rPr>
        <vertAlign val="subscript"/>
        <sz val="10"/>
        <rFont val="Calibri"/>
        <family val="2"/>
      </rPr>
      <t>GM</t>
    </r>
    <r>
      <rPr>
        <sz val="10"/>
        <rFont val="Calibri"/>
        <family val="2"/>
      </rPr>
      <t>)]+k</t>
    </r>
    <r>
      <rPr>
        <vertAlign val="subscript"/>
        <sz val="10"/>
        <rFont val="Calibri"/>
        <family val="2"/>
      </rPr>
      <t>GD</t>
    </r>
    <r>
      <rPr>
        <sz val="10"/>
        <rFont val="Calibri"/>
        <family val="2"/>
      </rPr>
      <t>+k</t>
    </r>
    <r>
      <rPr>
        <vertAlign val="subscript"/>
        <sz val="10"/>
        <rFont val="Calibri"/>
        <family val="2"/>
      </rPr>
      <t>BM</t>
    </r>
    <r>
      <rPr>
        <sz val="10"/>
        <rFont val="Calibri"/>
        <family val="2"/>
      </rPr>
      <t>}</t>
    </r>
    <phoneticPr fontId="23" type="noConversion"/>
  </si>
  <si>
    <r>
      <t>M</t>
    </r>
    <r>
      <rPr>
        <vertAlign val="subscript"/>
        <sz val="10"/>
        <rFont val="Calibri"/>
        <family val="2"/>
      </rPr>
      <t xml:space="preserve">B </t>
    </r>
    <r>
      <rPr>
        <sz val="10"/>
        <rFont val="Calibri"/>
        <family val="2"/>
      </rPr>
      <t>= C</t>
    </r>
    <r>
      <rPr>
        <vertAlign val="subscript"/>
        <sz val="10"/>
        <rFont val="Calibri"/>
        <family val="2"/>
      </rPr>
      <t>B</t>
    </r>
    <r>
      <rPr>
        <sz val="10"/>
        <rFont val="Calibri"/>
        <family val="2"/>
      </rPr>
      <t>·W</t>
    </r>
    <r>
      <rPr>
        <vertAlign val="subscript"/>
        <sz val="10"/>
        <rFont val="Calibri"/>
        <family val="2"/>
      </rPr>
      <t>B</t>
    </r>
    <phoneticPr fontId="23" type="noConversion"/>
  </si>
  <si>
    <r>
      <t>M</t>
    </r>
    <r>
      <rPr>
        <vertAlign val="subscript"/>
        <sz val="10"/>
        <rFont val="Calibri"/>
        <family val="2"/>
      </rPr>
      <t>G</t>
    </r>
    <r>
      <rPr>
        <sz val="10"/>
        <rFont val="Calibri"/>
        <family val="2"/>
      </rPr>
      <t xml:space="preserve"> = (G</t>
    </r>
    <r>
      <rPr>
        <vertAlign val="subscript"/>
        <sz val="10"/>
        <rFont val="Calibri"/>
        <family val="2"/>
      </rPr>
      <t>I</t>
    </r>
    <r>
      <rPr>
        <sz val="10"/>
        <rFont val="Calibri"/>
        <family val="2"/>
      </rPr>
      <t>·C</t>
    </r>
    <r>
      <rPr>
        <vertAlign val="subscript"/>
        <sz val="10"/>
        <rFont val="Calibri"/>
        <family val="2"/>
      </rPr>
      <t>D</t>
    </r>
    <r>
      <rPr>
        <sz val="10"/>
        <rFont val="Calibri"/>
        <family val="2"/>
      </rPr>
      <t>+k</t>
    </r>
    <r>
      <rPr>
        <vertAlign val="subscript"/>
        <sz val="10"/>
        <rFont val="Calibri"/>
        <family val="2"/>
      </rPr>
      <t>BG</t>
    </r>
    <r>
      <rPr>
        <sz val="10"/>
        <rFont val="Calibri"/>
        <family val="2"/>
      </rPr>
      <t>·M</t>
    </r>
    <r>
      <rPr>
        <vertAlign val="subscript"/>
        <sz val="10"/>
        <rFont val="Calibri"/>
        <family val="2"/>
      </rPr>
      <t>B</t>
    </r>
    <r>
      <rPr>
        <sz val="10"/>
        <rFont val="Calibri"/>
        <family val="2"/>
      </rPr>
      <t>)/(k</t>
    </r>
    <r>
      <rPr>
        <vertAlign val="subscript"/>
        <sz val="10"/>
        <rFont val="Calibri"/>
        <family val="2"/>
      </rPr>
      <t>GB</t>
    </r>
    <r>
      <rPr>
        <sz val="10"/>
        <rFont val="Calibri"/>
        <family val="2"/>
      </rPr>
      <t>+k</t>
    </r>
    <r>
      <rPr>
        <vertAlign val="subscript"/>
        <sz val="10"/>
        <rFont val="Calibri"/>
        <family val="2"/>
      </rPr>
      <t>GE</t>
    </r>
    <r>
      <rPr>
        <sz val="10"/>
        <rFont val="Calibri"/>
        <family val="2"/>
      </rPr>
      <t>+k</t>
    </r>
    <r>
      <rPr>
        <vertAlign val="subscript"/>
        <sz val="10"/>
        <rFont val="Calibri"/>
        <family val="2"/>
      </rPr>
      <t>GM</t>
    </r>
    <r>
      <rPr>
        <sz val="10"/>
        <rFont val="Calibri"/>
        <family val="2"/>
      </rPr>
      <t xml:space="preserve">) </t>
    </r>
    <phoneticPr fontId="23" type="noConversion"/>
  </si>
  <si>
    <r>
      <t>φ</t>
    </r>
    <r>
      <rPr>
        <vertAlign val="subscript"/>
        <sz val="10"/>
        <rFont val="Calibri"/>
        <family val="2"/>
      </rPr>
      <t>BM</t>
    </r>
    <r>
      <rPr>
        <sz val="10"/>
        <rFont val="Calibri"/>
        <family val="2"/>
      </rPr>
      <t xml:space="preserve"> = k</t>
    </r>
    <r>
      <rPr>
        <vertAlign val="subscript"/>
        <sz val="10"/>
        <rFont val="Calibri"/>
        <family val="2"/>
      </rPr>
      <t>BM</t>
    </r>
    <r>
      <rPr>
        <sz val="10"/>
        <rFont val="Calibri"/>
        <family val="2"/>
      </rPr>
      <t>·M</t>
    </r>
    <r>
      <rPr>
        <vertAlign val="subscript"/>
        <sz val="10"/>
        <rFont val="Calibri"/>
        <family val="2"/>
      </rPr>
      <t>B</t>
    </r>
    <r>
      <rPr>
        <sz val="10"/>
        <rFont val="Calibri"/>
        <family val="2"/>
      </rPr>
      <t>/(k</t>
    </r>
    <r>
      <rPr>
        <vertAlign val="subscript"/>
        <sz val="10"/>
        <rFont val="Calibri"/>
        <family val="2"/>
      </rPr>
      <t>BM</t>
    </r>
    <r>
      <rPr>
        <sz val="10"/>
        <rFont val="Calibri"/>
        <family val="2"/>
      </rPr>
      <t>·M</t>
    </r>
    <r>
      <rPr>
        <vertAlign val="subscript"/>
        <sz val="10"/>
        <rFont val="Calibri"/>
        <family val="2"/>
      </rPr>
      <t>B</t>
    </r>
    <r>
      <rPr>
        <sz val="10"/>
        <rFont val="Calibri"/>
        <family val="2"/>
      </rPr>
      <t>+k</t>
    </r>
    <r>
      <rPr>
        <vertAlign val="subscript"/>
        <sz val="10"/>
        <rFont val="Calibri"/>
        <family val="2"/>
      </rPr>
      <t>GM</t>
    </r>
    <r>
      <rPr>
        <sz val="10"/>
        <rFont val="Calibri"/>
        <family val="2"/>
      </rPr>
      <t>·M</t>
    </r>
    <r>
      <rPr>
        <vertAlign val="subscript"/>
        <sz val="10"/>
        <rFont val="Calibri"/>
        <family val="2"/>
      </rPr>
      <t>G</t>
    </r>
    <r>
      <rPr>
        <sz val="10"/>
        <rFont val="Calibri"/>
        <family val="2"/>
      </rPr>
      <t>)</t>
    </r>
    <phoneticPr fontId="23" type="noConversion"/>
  </si>
  <si>
    <r>
      <t>φ</t>
    </r>
    <r>
      <rPr>
        <vertAlign val="subscript"/>
        <sz val="10"/>
        <rFont val="Calibri"/>
        <family val="2"/>
      </rPr>
      <t>GM</t>
    </r>
    <r>
      <rPr>
        <sz val="10"/>
        <rFont val="Calibri"/>
        <family val="2"/>
      </rPr>
      <t xml:space="preserve"> = k</t>
    </r>
    <r>
      <rPr>
        <vertAlign val="subscript"/>
        <sz val="10"/>
        <rFont val="Calibri"/>
        <family val="2"/>
      </rPr>
      <t>GM</t>
    </r>
    <r>
      <rPr>
        <sz val="10"/>
        <rFont val="Calibri"/>
        <family val="2"/>
      </rPr>
      <t>·M</t>
    </r>
    <r>
      <rPr>
        <vertAlign val="subscript"/>
        <sz val="10"/>
        <rFont val="Calibri"/>
        <family val="2"/>
      </rPr>
      <t>G</t>
    </r>
    <r>
      <rPr>
        <sz val="10"/>
        <rFont val="Calibri"/>
        <family val="2"/>
      </rPr>
      <t>/(k</t>
    </r>
    <r>
      <rPr>
        <vertAlign val="subscript"/>
        <sz val="10"/>
        <rFont val="Calibri"/>
        <family val="2"/>
      </rPr>
      <t>BM</t>
    </r>
    <r>
      <rPr>
        <sz val="10"/>
        <rFont val="Calibri"/>
        <family val="2"/>
      </rPr>
      <t>·M</t>
    </r>
    <r>
      <rPr>
        <vertAlign val="subscript"/>
        <sz val="10"/>
        <rFont val="Calibri"/>
        <family val="2"/>
      </rPr>
      <t>B</t>
    </r>
    <r>
      <rPr>
        <sz val="10"/>
        <rFont val="Calibri"/>
        <family val="2"/>
      </rPr>
      <t>+k</t>
    </r>
    <r>
      <rPr>
        <vertAlign val="subscript"/>
        <sz val="10"/>
        <rFont val="Calibri"/>
        <family val="2"/>
      </rPr>
      <t>GM</t>
    </r>
    <r>
      <rPr>
        <sz val="10"/>
        <rFont val="Calibri"/>
        <family val="2"/>
      </rPr>
      <t>·M</t>
    </r>
    <r>
      <rPr>
        <vertAlign val="subscript"/>
        <sz val="10"/>
        <rFont val="Calibri"/>
        <family val="2"/>
      </rPr>
      <t>G</t>
    </r>
    <r>
      <rPr>
        <sz val="10"/>
        <rFont val="Calibri"/>
        <family val="2"/>
      </rPr>
      <t>)</t>
    </r>
    <phoneticPr fontId="23" type="noConversion"/>
  </si>
  <si>
    <r>
      <t>K</t>
    </r>
    <r>
      <rPr>
        <vertAlign val="subscript"/>
        <sz val="10"/>
        <rFont val="Calibri"/>
        <family val="2"/>
      </rPr>
      <t>BW</t>
    </r>
    <r>
      <rPr>
        <sz val="10"/>
        <rFont val="Calibri"/>
        <family val="2"/>
      </rPr>
      <t xml:space="preserve"> =ɸ</t>
    </r>
    <r>
      <rPr>
        <vertAlign val="subscript"/>
        <sz val="10"/>
        <rFont val="Calibri"/>
        <family val="2"/>
      </rPr>
      <t>BL</t>
    </r>
    <r>
      <rPr>
        <sz val="10"/>
        <rFont val="Calibri"/>
        <family val="2"/>
      </rPr>
      <t>·K</t>
    </r>
    <r>
      <rPr>
        <vertAlign val="subscript"/>
        <sz val="10"/>
        <rFont val="Calibri"/>
        <family val="2"/>
      </rPr>
      <t>OW</t>
    </r>
    <r>
      <rPr>
        <sz val="10"/>
        <rFont val="Calibri"/>
        <family val="2"/>
      </rPr>
      <t>/d</t>
    </r>
    <r>
      <rPr>
        <vertAlign val="subscript"/>
        <sz val="10"/>
        <rFont val="Calibri"/>
        <family val="2"/>
      </rPr>
      <t>L</t>
    </r>
    <r>
      <rPr>
        <sz val="10"/>
        <rFont val="Calibri"/>
        <family val="2"/>
      </rPr>
      <t>+ɸ</t>
    </r>
    <r>
      <rPr>
        <vertAlign val="subscript"/>
        <sz val="10"/>
        <rFont val="Calibri"/>
        <family val="2"/>
      </rPr>
      <t>BP</t>
    </r>
    <r>
      <rPr>
        <sz val="10"/>
        <rFont val="Calibri"/>
        <family val="2"/>
      </rPr>
      <t>·χ·K</t>
    </r>
    <r>
      <rPr>
        <vertAlign val="subscript"/>
        <sz val="10"/>
        <rFont val="Calibri"/>
        <family val="2"/>
      </rPr>
      <t>OW</t>
    </r>
    <r>
      <rPr>
        <sz val="10"/>
        <rFont val="Calibri"/>
        <family val="2"/>
      </rPr>
      <t>/d</t>
    </r>
    <r>
      <rPr>
        <vertAlign val="subscript"/>
        <sz val="10"/>
        <rFont val="Calibri"/>
        <family val="2"/>
      </rPr>
      <t>P</t>
    </r>
    <r>
      <rPr>
        <sz val="10"/>
        <rFont val="Calibri"/>
        <family val="2"/>
      </rPr>
      <t>+ɸ</t>
    </r>
    <r>
      <rPr>
        <vertAlign val="subscript"/>
        <sz val="10"/>
        <rFont val="Calibri"/>
        <family val="2"/>
      </rPr>
      <t>BW</t>
    </r>
    <r>
      <rPr>
        <sz val="10"/>
        <rFont val="Calibri"/>
        <family val="2"/>
      </rPr>
      <t>/d</t>
    </r>
    <r>
      <rPr>
        <vertAlign val="subscript"/>
        <sz val="10"/>
        <rFont val="Calibri"/>
        <family val="2"/>
      </rPr>
      <t>W</t>
    </r>
    <phoneticPr fontId="23" type="noConversion"/>
  </si>
  <si>
    <r>
      <t>K</t>
    </r>
    <r>
      <rPr>
        <vertAlign val="subscript"/>
        <sz val="10"/>
        <rFont val="Calibri"/>
        <family val="2"/>
      </rPr>
      <t xml:space="preserve">GB </t>
    </r>
    <r>
      <rPr>
        <sz val="10"/>
        <rFont val="Calibri"/>
        <family val="2"/>
      </rPr>
      <t>=  {d</t>
    </r>
    <r>
      <rPr>
        <vertAlign val="subscript"/>
        <sz val="10"/>
        <rFont val="Calibri"/>
        <family val="2"/>
      </rPr>
      <t>G</t>
    </r>
    <r>
      <rPr>
        <sz val="10"/>
        <rFont val="Calibri"/>
        <family val="2"/>
      </rPr>
      <t>[ɸ</t>
    </r>
    <r>
      <rPr>
        <vertAlign val="subscript"/>
        <sz val="10"/>
        <rFont val="Calibri"/>
        <family val="2"/>
      </rPr>
      <t>GL</t>
    </r>
    <r>
      <rPr>
        <sz val="10"/>
        <rFont val="Calibri"/>
        <family val="2"/>
      </rPr>
      <t>/d</t>
    </r>
    <r>
      <rPr>
        <vertAlign val="subscript"/>
        <sz val="10"/>
        <rFont val="Calibri"/>
        <family val="2"/>
      </rPr>
      <t>L</t>
    </r>
    <r>
      <rPr>
        <sz val="10"/>
        <rFont val="Calibri"/>
        <family val="2"/>
      </rPr>
      <t>+ɸ</t>
    </r>
    <r>
      <rPr>
        <vertAlign val="subscript"/>
        <sz val="10"/>
        <rFont val="Calibri"/>
        <family val="2"/>
      </rPr>
      <t>GP</t>
    </r>
    <r>
      <rPr>
        <sz val="10"/>
        <rFont val="Calibri"/>
        <family val="2"/>
      </rPr>
      <t>·χ/d</t>
    </r>
    <r>
      <rPr>
        <vertAlign val="subscript"/>
        <sz val="10"/>
        <rFont val="Calibri"/>
        <family val="2"/>
      </rPr>
      <t>P</t>
    </r>
    <r>
      <rPr>
        <sz val="10"/>
        <rFont val="Calibri"/>
        <family val="2"/>
      </rPr>
      <t>+ɸ</t>
    </r>
    <r>
      <rPr>
        <vertAlign val="subscript"/>
        <sz val="10"/>
        <rFont val="Calibri"/>
        <family val="2"/>
      </rPr>
      <t>GN</t>
    </r>
    <r>
      <rPr>
        <sz val="10"/>
        <rFont val="Calibri"/>
        <family val="2"/>
      </rPr>
      <t>·θ/d</t>
    </r>
    <r>
      <rPr>
        <vertAlign val="subscript"/>
        <sz val="10"/>
        <rFont val="Calibri"/>
        <family val="2"/>
      </rPr>
      <t>N</t>
    </r>
    <r>
      <rPr>
        <sz val="10"/>
        <rFont val="Calibri"/>
        <family val="2"/>
      </rPr>
      <t>+ɸ</t>
    </r>
    <r>
      <rPr>
        <vertAlign val="subscript"/>
        <sz val="10"/>
        <rFont val="Calibri"/>
        <family val="2"/>
      </rPr>
      <t>GW</t>
    </r>
    <r>
      <rPr>
        <sz val="10"/>
        <rFont val="Calibri"/>
        <family val="2"/>
      </rPr>
      <t>/(K</t>
    </r>
    <r>
      <rPr>
        <vertAlign val="subscript"/>
        <sz val="10"/>
        <rFont val="Calibri"/>
        <family val="2"/>
      </rPr>
      <t>OW</t>
    </r>
    <r>
      <rPr>
        <sz val="10"/>
        <rFont val="Calibri"/>
        <family val="2"/>
      </rPr>
      <t>·d</t>
    </r>
    <r>
      <rPr>
        <vertAlign val="subscript"/>
        <sz val="10"/>
        <rFont val="Calibri"/>
        <family val="2"/>
      </rPr>
      <t>W</t>
    </r>
    <r>
      <rPr>
        <sz val="10"/>
        <rFont val="Calibri"/>
        <family val="2"/>
      </rPr>
      <t>)]}/ {d</t>
    </r>
    <r>
      <rPr>
        <vertAlign val="subscript"/>
        <sz val="10"/>
        <rFont val="Calibri"/>
        <family val="2"/>
      </rPr>
      <t>B</t>
    </r>
    <r>
      <rPr>
        <sz val="10"/>
        <rFont val="Calibri"/>
        <family val="2"/>
      </rPr>
      <t>[ɸ</t>
    </r>
    <r>
      <rPr>
        <vertAlign val="subscript"/>
        <sz val="10"/>
        <rFont val="Calibri"/>
        <family val="2"/>
      </rPr>
      <t>BL</t>
    </r>
    <r>
      <rPr>
        <sz val="10"/>
        <rFont val="Calibri"/>
        <family val="2"/>
      </rPr>
      <t>/d</t>
    </r>
    <r>
      <rPr>
        <vertAlign val="subscript"/>
        <sz val="10"/>
        <rFont val="Calibri"/>
        <family val="2"/>
      </rPr>
      <t>L</t>
    </r>
    <r>
      <rPr>
        <sz val="10"/>
        <rFont val="Calibri"/>
        <family val="2"/>
      </rPr>
      <t>+ɸ</t>
    </r>
    <r>
      <rPr>
        <vertAlign val="subscript"/>
        <sz val="10"/>
        <rFont val="Calibri"/>
        <family val="2"/>
      </rPr>
      <t>BP</t>
    </r>
    <r>
      <rPr>
        <sz val="10"/>
        <rFont val="Calibri"/>
        <family val="2"/>
      </rPr>
      <t>·χ/d</t>
    </r>
    <r>
      <rPr>
        <vertAlign val="subscript"/>
        <sz val="10"/>
        <rFont val="Calibri"/>
        <family val="2"/>
      </rPr>
      <t>P</t>
    </r>
    <r>
      <rPr>
        <sz val="10"/>
        <rFont val="Calibri"/>
        <family val="2"/>
      </rPr>
      <t>+ɸ</t>
    </r>
    <r>
      <rPr>
        <vertAlign val="subscript"/>
        <sz val="10"/>
        <rFont val="Calibri"/>
        <family val="2"/>
      </rPr>
      <t>BW</t>
    </r>
    <r>
      <rPr>
        <sz val="10"/>
        <rFont val="Calibri"/>
        <family val="2"/>
      </rPr>
      <t>/(K</t>
    </r>
    <r>
      <rPr>
        <vertAlign val="subscript"/>
        <sz val="10"/>
        <rFont val="Calibri"/>
        <family val="2"/>
      </rPr>
      <t>OW</t>
    </r>
    <r>
      <rPr>
        <sz val="10"/>
        <rFont val="Calibri"/>
        <family val="2"/>
      </rPr>
      <t>·d</t>
    </r>
    <r>
      <rPr>
        <vertAlign val="subscript"/>
        <sz val="10"/>
        <rFont val="Calibri"/>
        <family val="2"/>
      </rPr>
      <t>W</t>
    </r>
    <r>
      <rPr>
        <sz val="10"/>
        <rFont val="Calibri"/>
        <family val="2"/>
      </rPr>
      <t>)]}</t>
    </r>
    <phoneticPr fontId="23" type="noConversion"/>
  </si>
  <si>
    <r>
      <t>ε</t>
    </r>
    <r>
      <rPr>
        <vertAlign val="subscript"/>
        <sz val="10"/>
        <rFont val="Calibri"/>
        <family val="2"/>
      </rPr>
      <t xml:space="preserve">f,ww </t>
    </r>
    <r>
      <rPr>
        <sz val="10"/>
        <rFont val="Calibri"/>
        <family val="2"/>
      </rPr>
      <t>=ε</t>
    </r>
    <r>
      <rPr>
        <vertAlign val="subscript"/>
        <sz val="10"/>
        <rFont val="Calibri"/>
        <family val="2"/>
      </rPr>
      <t>L</t>
    </r>
    <r>
      <rPr>
        <sz val="10"/>
        <rFont val="Calibri"/>
        <family val="2"/>
      </rPr>
      <t>·ɸ</t>
    </r>
    <r>
      <rPr>
        <vertAlign val="subscript"/>
        <sz val="10"/>
        <rFont val="Calibri"/>
        <family val="2"/>
      </rPr>
      <t>DL</t>
    </r>
    <r>
      <rPr>
        <sz val="10"/>
        <rFont val="Calibri"/>
        <family val="2"/>
      </rPr>
      <t>+ε</t>
    </r>
    <r>
      <rPr>
        <vertAlign val="subscript"/>
        <sz val="10"/>
        <rFont val="Calibri"/>
        <family val="2"/>
      </rPr>
      <t>P</t>
    </r>
    <r>
      <rPr>
        <sz val="10"/>
        <rFont val="Calibri"/>
        <family val="2"/>
      </rPr>
      <t>·ɸ</t>
    </r>
    <r>
      <rPr>
        <vertAlign val="subscript"/>
        <sz val="10"/>
        <rFont val="Calibri"/>
        <family val="2"/>
      </rPr>
      <t>DP</t>
    </r>
    <r>
      <rPr>
        <sz val="10"/>
        <rFont val="Calibri"/>
        <family val="2"/>
      </rPr>
      <t>+ε</t>
    </r>
    <r>
      <rPr>
        <vertAlign val="subscript"/>
        <sz val="10"/>
        <rFont val="Calibri"/>
        <family val="2"/>
      </rPr>
      <t>N</t>
    </r>
    <r>
      <rPr>
        <sz val="10"/>
        <rFont val="Calibri"/>
        <family val="2"/>
      </rPr>
      <t>·ɸ</t>
    </r>
    <r>
      <rPr>
        <vertAlign val="subscript"/>
        <sz val="10"/>
        <rFont val="Calibri"/>
        <family val="2"/>
      </rPr>
      <t>DN</t>
    </r>
    <r>
      <rPr>
        <sz val="10"/>
        <rFont val="Calibri"/>
        <family val="2"/>
      </rPr>
      <t>+ε</t>
    </r>
    <r>
      <rPr>
        <vertAlign val="subscript"/>
        <sz val="10"/>
        <rFont val="Calibri"/>
        <family val="2"/>
      </rPr>
      <t>W</t>
    </r>
    <r>
      <rPr>
        <sz val="10"/>
        <rFont val="Calibri"/>
        <family val="2"/>
      </rPr>
      <t>·ɸ</t>
    </r>
    <r>
      <rPr>
        <vertAlign val="subscript"/>
        <sz val="10"/>
        <rFont val="Calibri"/>
        <family val="2"/>
      </rPr>
      <t>DW</t>
    </r>
    <phoneticPr fontId="23" type="noConversion"/>
  </si>
  <si>
    <r>
      <t>ε</t>
    </r>
    <r>
      <rPr>
        <vertAlign val="subscript"/>
        <sz val="10"/>
        <rFont val="Calibri"/>
        <family val="2"/>
      </rPr>
      <t xml:space="preserve">f,dw </t>
    </r>
    <r>
      <rPr>
        <sz val="10"/>
        <rFont val="Calibri"/>
        <family val="2"/>
      </rPr>
      <t>=ε</t>
    </r>
    <r>
      <rPr>
        <vertAlign val="subscript"/>
        <sz val="10"/>
        <rFont val="Calibri"/>
        <family val="2"/>
      </rPr>
      <t>L</t>
    </r>
    <r>
      <rPr>
        <sz val="10"/>
        <rFont val="Calibri"/>
        <family val="2"/>
      </rPr>
      <t>·ɸ</t>
    </r>
    <r>
      <rPr>
        <vertAlign val="subscript"/>
        <sz val="10"/>
        <rFont val="Calibri"/>
        <family val="2"/>
      </rPr>
      <t>DL</t>
    </r>
    <r>
      <rPr>
        <sz val="10"/>
        <rFont val="Calibri"/>
        <family val="2"/>
      </rPr>
      <t>+ε</t>
    </r>
    <r>
      <rPr>
        <vertAlign val="subscript"/>
        <sz val="10"/>
        <rFont val="Calibri"/>
        <family val="2"/>
      </rPr>
      <t>P</t>
    </r>
    <r>
      <rPr>
        <sz val="10"/>
        <rFont val="Calibri"/>
        <family val="2"/>
      </rPr>
      <t>·ɸ</t>
    </r>
    <r>
      <rPr>
        <vertAlign val="subscript"/>
        <sz val="10"/>
        <rFont val="Calibri"/>
        <family val="2"/>
      </rPr>
      <t>DP</t>
    </r>
    <r>
      <rPr>
        <sz val="10"/>
        <rFont val="Calibri"/>
        <family val="2"/>
      </rPr>
      <t>+ε</t>
    </r>
    <r>
      <rPr>
        <vertAlign val="subscript"/>
        <sz val="10"/>
        <rFont val="Calibri"/>
        <family val="2"/>
      </rPr>
      <t>N</t>
    </r>
    <r>
      <rPr>
        <sz val="10"/>
        <rFont val="Calibri"/>
        <family val="2"/>
      </rPr>
      <t>·ɸ</t>
    </r>
    <r>
      <rPr>
        <vertAlign val="subscript"/>
        <sz val="10"/>
        <rFont val="Calibri"/>
        <family val="2"/>
      </rPr>
      <t>DN</t>
    </r>
    <r>
      <rPr>
        <sz val="10"/>
        <color rgb="FF00B050"/>
        <rFont val="Calibri"/>
        <family val="2"/>
      </rPr>
      <t/>
    </r>
    <phoneticPr fontId="23" type="noConversion"/>
  </si>
  <si>
    <r>
      <t>C</t>
    </r>
    <r>
      <rPr>
        <vertAlign val="subscript"/>
        <sz val="10"/>
        <rFont val="Calibri"/>
        <family val="2"/>
      </rPr>
      <t>B</t>
    </r>
    <r>
      <rPr>
        <sz val="10"/>
        <rFont val="Calibri"/>
        <family val="2"/>
      </rPr>
      <t xml:space="preserve"> = {k</t>
    </r>
    <r>
      <rPr>
        <vertAlign val="subscript"/>
        <sz val="10"/>
        <rFont val="Calibri"/>
        <family val="2"/>
      </rPr>
      <t>B1</t>
    </r>
    <r>
      <rPr>
        <sz val="10"/>
        <rFont val="Calibri"/>
        <family val="2"/>
      </rPr>
      <t>·C</t>
    </r>
    <r>
      <rPr>
        <vertAlign val="subscript"/>
        <sz val="10"/>
        <rFont val="Calibri"/>
        <family val="2"/>
      </rPr>
      <t>WD</t>
    </r>
    <r>
      <rPr>
        <sz val="10"/>
        <rFont val="Calibri"/>
        <family val="2"/>
      </rPr>
      <t>+[k</t>
    </r>
    <r>
      <rPr>
        <vertAlign val="subscript"/>
        <sz val="10"/>
        <rFont val="Calibri"/>
        <family val="2"/>
      </rPr>
      <t>GB</t>
    </r>
    <r>
      <rPr>
        <sz val="10"/>
        <rFont val="Calibri"/>
        <family val="2"/>
      </rPr>
      <t>/(k</t>
    </r>
    <r>
      <rPr>
        <vertAlign val="subscript"/>
        <sz val="10"/>
        <rFont val="Calibri"/>
        <family val="2"/>
      </rPr>
      <t>GB</t>
    </r>
    <r>
      <rPr>
        <sz val="10"/>
        <rFont val="Calibri"/>
        <family val="2"/>
      </rPr>
      <t>+k</t>
    </r>
    <r>
      <rPr>
        <vertAlign val="subscript"/>
        <sz val="10"/>
        <rFont val="Calibri"/>
        <family val="2"/>
      </rPr>
      <t>GE</t>
    </r>
    <r>
      <rPr>
        <sz val="10"/>
        <rFont val="Calibri"/>
        <family val="2"/>
      </rPr>
      <t>+k</t>
    </r>
    <r>
      <rPr>
        <vertAlign val="subscript"/>
        <sz val="10"/>
        <rFont val="Calibri"/>
        <family val="2"/>
      </rPr>
      <t>GM</t>
    </r>
    <r>
      <rPr>
        <sz val="10"/>
        <rFont val="Calibri"/>
        <family val="2"/>
      </rPr>
      <t>)]·F</t>
    </r>
    <r>
      <rPr>
        <vertAlign val="subscript"/>
        <sz val="10"/>
        <rFont val="Calibri"/>
        <family val="2"/>
      </rPr>
      <t>D</t>
    </r>
    <r>
      <rPr>
        <sz val="10"/>
        <rFont val="Calibri"/>
        <family val="2"/>
      </rPr>
      <t>·C</t>
    </r>
    <r>
      <rPr>
        <vertAlign val="subscript"/>
        <sz val="10"/>
        <rFont val="Calibri"/>
        <family val="2"/>
      </rPr>
      <t>D</t>
    </r>
    <r>
      <rPr>
        <sz val="10"/>
        <rFont val="Calibri"/>
        <family val="2"/>
      </rPr>
      <t>}/{k</t>
    </r>
    <r>
      <rPr>
        <vertAlign val="subscript"/>
        <sz val="10"/>
        <rFont val="Calibri"/>
        <family val="2"/>
      </rPr>
      <t>B2</t>
    </r>
    <r>
      <rPr>
        <sz val="10"/>
        <rFont val="Calibri"/>
        <family val="2"/>
      </rPr>
      <t>+k</t>
    </r>
    <r>
      <rPr>
        <vertAlign val="subscript"/>
        <sz val="10"/>
        <rFont val="Calibri"/>
        <family val="2"/>
      </rPr>
      <t>BG</t>
    </r>
    <r>
      <rPr>
        <sz val="10"/>
        <rFont val="Calibri"/>
        <family val="2"/>
      </rPr>
      <t>·[(k</t>
    </r>
    <r>
      <rPr>
        <vertAlign val="subscript"/>
        <sz val="10"/>
        <rFont val="Calibri"/>
        <family val="2"/>
      </rPr>
      <t>GE</t>
    </r>
    <r>
      <rPr>
        <sz val="10"/>
        <rFont val="Calibri"/>
        <family val="2"/>
      </rPr>
      <t>+k</t>
    </r>
    <r>
      <rPr>
        <vertAlign val="subscript"/>
        <sz val="10"/>
        <rFont val="Calibri"/>
        <family val="2"/>
      </rPr>
      <t>GM</t>
    </r>
    <r>
      <rPr>
        <sz val="10"/>
        <rFont val="Calibri"/>
        <family val="2"/>
      </rPr>
      <t>)/(k</t>
    </r>
    <r>
      <rPr>
        <vertAlign val="subscript"/>
        <sz val="10"/>
        <rFont val="Calibri"/>
        <family val="2"/>
      </rPr>
      <t>GB</t>
    </r>
    <r>
      <rPr>
        <sz val="10"/>
        <rFont val="Calibri"/>
        <family val="2"/>
      </rPr>
      <t>+k</t>
    </r>
    <r>
      <rPr>
        <vertAlign val="subscript"/>
        <sz val="10"/>
        <rFont val="Calibri"/>
        <family val="2"/>
      </rPr>
      <t>GE</t>
    </r>
    <r>
      <rPr>
        <sz val="10"/>
        <rFont val="Calibri"/>
        <family val="2"/>
      </rPr>
      <t>+k</t>
    </r>
    <r>
      <rPr>
        <vertAlign val="subscript"/>
        <sz val="10"/>
        <rFont val="Calibri"/>
        <family val="2"/>
      </rPr>
      <t>GM</t>
    </r>
    <r>
      <rPr>
        <sz val="10"/>
        <rFont val="Calibri"/>
        <family val="2"/>
      </rPr>
      <t>)]+k</t>
    </r>
    <r>
      <rPr>
        <vertAlign val="subscript"/>
        <sz val="10"/>
        <rFont val="Calibri"/>
        <family val="2"/>
      </rPr>
      <t>GD</t>
    </r>
    <r>
      <rPr>
        <sz val="10"/>
        <rFont val="Calibri"/>
        <family val="2"/>
      </rPr>
      <t>+k</t>
    </r>
    <r>
      <rPr>
        <vertAlign val="subscript"/>
        <sz val="10"/>
        <rFont val="Calibri"/>
        <family val="2"/>
      </rPr>
      <t>BM</t>
    </r>
    <r>
      <rPr>
        <sz val="10"/>
        <rFont val="Calibri"/>
        <family val="2"/>
      </rPr>
      <t>}</t>
    </r>
    <phoneticPr fontId="23" type="noConversion"/>
  </si>
  <si>
    <r>
      <t>C</t>
    </r>
    <r>
      <rPr>
        <vertAlign val="subscript"/>
        <sz val="10"/>
        <rFont val="Calibri"/>
        <family val="2"/>
      </rPr>
      <t xml:space="preserve">G </t>
    </r>
    <r>
      <rPr>
        <sz val="10"/>
        <rFont val="Calibri"/>
        <family val="2"/>
      </rPr>
      <t>= [(G</t>
    </r>
    <r>
      <rPr>
        <vertAlign val="subscript"/>
        <sz val="10"/>
        <rFont val="Calibri"/>
        <family val="2"/>
      </rPr>
      <t>I</t>
    </r>
    <r>
      <rPr>
        <sz val="10"/>
        <rFont val="Calibri"/>
        <family val="2"/>
      </rPr>
      <t>·C</t>
    </r>
    <r>
      <rPr>
        <vertAlign val="subscript"/>
        <sz val="10"/>
        <rFont val="Calibri"/>
        <family val="2"/>
      </rPr>
      <t>D</t>
    </r>
    <r>
      <rPr>
        <sz val="10"/>
        <rFont val="Calibri"/>
        <family val="2"/>
      </rPr>
      <t>+k</t>
    </r>
    <r>
      <rPr>
        <vertAlign val="subscript"/>
        <sz val="10"/>
        <rFont val="Calibri"/>
        <family val="2"/>
      </rPr>
      <t>BG</t>
    </r>
    <r>
      <rPr>
        <sz val="10"/>
        <rFont val="Calibri"/>
        <family val="2"/>
      </rPr>
      <t>·C</t>
    </r>
    <r>
      <rPr>
        <vertAlign val="subscript"/>
        <sz val="10"/>
        <rFont val="Calibri"/>
        <family val="2"/>
      </rPr>
      <t>B</t>
    </r>
    <r>
      <rPr>
        <sz val="10"/>
        <rFont val="Calibri"/>
        <family val="2"/>
      </rPr>
      <t>·W</t>
    </r>
    <r>
      <rPr>
        <vertAlign val="subscript"/>
        <sz val="10"/>
        <rFont val="Calibri"/>
        <family val="2"/>
      </rPr>
      <t>B</t>
    </r>
    <r>
      <rPr>
        <sz val="10"/>
        <rFont val="Calibri"/>
        <family val="2"/>
      </rPr>
      <t>)/(k</t>
    </r>
    <r>
      <rPr>
        <vertAlign val="subscript"/>
        <sz val="10"/>
        <rFont val="Calibri"/>
        <family val="2"/>
      </rPr>
      <t>GB</t>
    </r>
    <r>
      <rPr>
        <sz val="10"/>
        <rFont val="Calibri"/>
        <family val="2"/>
      </rPr>
      <t>+k</t>
    </r>
    <r>
      <rPr>
        <vertAlign val="subscript"/>
        <sz val="10"/>
        <rFont val="Calibri"/>
        <family val="2"/>
      </rPr>
      <t>GE</t>
    </r>
    <r>
      <rPr>
        <sz val="10"/>
        <rFont val="Calibri"/>
        <family val="2"/>
      </rPr>
      <t>+k</t>
    </r>
    <r>
      <rPr>
        <vertAlign val="subscript"/>
        <sz val="10"/>
        <rFont val="Calibri"/>
        <family val="2"/>
      </rPr>
      <t>GM</t>
    </r>
    <r>
      <rPr>
        <sz val="10"/>
        <rFont val="Calibri"/>
        <family val="2"/>
      </rPr>
      <t>)]/W</t>
    </r>
    <r>
      <rPr>
        <vertAlign val="subscript"/>
        <sz val="10"/>
        <rFont val="Calibri"/>
        <family val="2"/>
      </rPr>
      <t>G</t>
    </r>
    <r>
      <rPr>
        <sz val="10"/>
        <rFont val="Calibri"/>
        <family val="2"/>
      </rPr>
      <t xml:space="preserve"> </t>
    </r>
    <phoneticPr fontId="23" type="noConversion"/>
  </si>
  <si>
    <t>kg/L</t>
    <phoneticPr fontId="23" type="noConversion"/>
  </si>
  <si>
    <t>ADME Dietary Fish Bioaccumulation Calculator Worksheet</t>
  </si>
  <si>
    <t>Part 1 : Enter Information about the Chemical</t>
  </si>
  <si>
    <t>Part 2: Enter Test Conditions</t>
  </si>
  <si>
    <t>Part 3: Enter Primary Test Data for an OECD 305 Dietary Bioaccumulation Test</t>
  </si>
  <si>
    <t>Time (day)</t>
  </si>
  <si>
    <t>Time (d) &amp; concentration of chemical in fish (g/kg ww)</t>
  </si>
  <si>
    <r>
      <t>ln C</t>
    </r>
    <r>
      <rPr>
        <b/>
        <u/>
        <vertAlign val="subscript"/>
        <sz val="10"/>
        <rFont val="Calibri"/>
        <family val="2"/>
      </rPr>
      <t>B</t>
    </r>
  </si>
  <si>
    <t>Part 4: Enter information on Recalcitrant Reference Chemical</t>
  </si>
  <si>
    <t>Part 5: Review &amp; Change if Required</t>
  </si>
  <si>
    <r>
      <t>C</t>
    </r>
    <r>
      <rPr>
        <vertAlign val="subscript"/>
        <sz val="10"/>
        <color theme="1"/>
        <rFont val="Calibri"/>
        <family val="2"/>
      </rPr>
      <t>OC</t>
    </r>
  </si>
  <si>
    <t>Part 6: Evaluate Linear Regression Results</t>
  </si>
  <si>
    <t>p-value</t>
  </si>
  <si>
    <t>Part 7: Evaluate Bioaccumulation Metrics</t>
  </si>
  <si>
    <t>Part 8: Evaluate Supplemental Information</t>
  </si>
  <si>
    <r>
      <t>φ</t>
    </r>
    <r>
      <rPr>
        <vertAlign val="subscript"/>
        <sz val="10"/>
        <color theme="1"/>
        <rFont val="Calibri"/>
        <family val="2"/>
      </rPr>
      <t>WD</t>
    </r>
  </si>
  <si>
    <r>
      <t>C</t>
    </r>
    <r>
      <rPr>
        <vertAlign val="subscript"/>
        <sz val="10"/>
        <color theme="1"/>
        <rFont val="Calibri"/>
        <family val="2"/>
      </rPr>
      <t xml:space="preserve">WD </t>
    </r>
    <r>
      <rPr>
        <sz val="10"/>
        <color theme="1"/>
        <rFont val="Calibri"/>
        <family val="2"/>
      </rPr>
      <t>= C</t>
    </r>
    <r>
      <rPr>
        <vertAlign val="subscript"/>
        <sz val="10"/>
        <color theme="1"/>
        <rFont val="Calibri"/>
        <family val="2"/>
      </rPr>
      <t>WT</t>
    </r>
    <r>
      <rPr>
        <sz val="10"/>
        <color theme="1"/>
        <rFont val="Calibri"/>
        <family val="2"/>
      </rPr>
      <t>·φ</t>
    </r>
    <r>
      <rPr>
        <vertAlign val="subscript"/>
        <sz val="10"/>
        <color theme="1"/>
        <rFont val="Calibri"/>
        <family val="2"/>
      </rPr>
      <t>WD</t>
    </r>
  </si>
  <si>
    <t>Solubility in water</t>
  </si>
  <si>
    <t>g/L</t>
  </si>
  <si>
    <t xml:space="preserve">g chemical/kg food </t>
  </si>
  <si>
    <t>Rate constant for dietary uptake</t>
  </si>
  <si>
    <t>Name</t>
  </si>
  <si>
    <t>Graph</t>
  </si>
  <si>
    <t>Approximated.</t>
  </si>
  <si>
    <r>
      <t>Test conditions. Normally, C</t>
    </r>
    <r>
      <rPr>
        <vertAlign val="subscript"/>
        <sz val="10"/>
        <rFont val="Calibri"/>
        <family val="2"/>
      </rPr>
      <t>WT</t>
    </r>
    <r>
      <rPr>
        <sz val="10"/>
        <rFont val="Calibri"/>
        <family val="2"/>
      </rPr>
      <t xml:space="preserve"> in a dietary bioaccumulation experiment is held at a concentration of 0.</t>
    </r>
  </si>
  <si>
    <t>Pathway</t>
  </si>
  <si>
    <t xml:space="preserve">     Chemical flux absorbed by fish body</t>
  </si>
  <si>
    <t xml:space="preserve">     Chemical flux egested from intestinal tract</t>
  </si>
  <si>
    <t xml:space="preserve">     Chemical flux transformed in intestinal tract</t>
  </si>
  <si>
    <t xml:space="preserve">     Chemical flux eliminated from fish body via gills</t>
  </si>
  <si>
    <t xml:space="preserve">     Chemical flux excreted into intestinal tract</t>
  </si>
  <si>
    <t xml:space="preserve">     Chemical flux transformed in fish body</t>
  </si>
  <si>
    <t xml:space="preserve">     Chemical flux recirculated back to fish body</t>
  </si>
  <si>
    <t xml:space="preserve">     Chemical flux recirculated back to intestinal tract</t>
  </si>
  <si>
    <r>
      <t>k</t>
    </r>
    <r>
      <rPr>
        <vertAlign val="subscript"/>
        <sz val="10"/>
        <rFont val="Calibri"/>
        <family val="2"/>
      </rPr>
      <t>D</t>
    </r>
    <phoneticPr fontId="23" type="noConversion"/>
  </si>
  <si>
    <t>Rate constant for respiratory uptake (apparent)</t>
  </si>
  <si>
    <t>ADME Profiler</t>
  </si>
  <si>
    <t>The ADME profiler interprets dietary bioaccumulation test results in terms of absorption, internal distribution, biotransformation and excretion rates in (i) the dietary bioaccumulation test and (ii) in field situations upon entering concentrations of the chemical in water and diet.</t>
  </si>
  <si>
    <t>Concentration of chemical in excess of aqueous solubility</t>
  </si>
  <si>
    <r>
      <t>BCF</t>
    </r>
    <r>
      <rPr>
        <b/>
        <vertAlign val="subscript"/>
        <sz val="10"/>
        <rFont val="Calibri"/>
        <family val="2"/>
      </rPr>
      <t>ww,t</t>
    </r>
    <phoneticPr fontId="23" type="noConversion"/>
  </si>
  <si>
    <r>
      <t>C</t>
    </r>
    <r>
      <rPr>
        <b/>
        <u/>
        <vertAlign val="subscript"/>
        <sz val="10"/>
        <rFont val="Calibri"/>
        <family val="2"/>
      </rPr>
      <t>B</t>
    </r>
    <r>
      <rPr>
        <b/>
        <u/>
        <sz val="10"/>
        <rFont val="Calibri"/>
        <family val="2"/>
      </rPr>
      <t xml:space="preserve"> (g/kg ww)</t>
    </r>
  </si>
  <si>
    <r>
      <t>t , C</t>
    </r>
    <r>
      <rPr>
        <vertAlign val="subscript"/>
        <sz val="10"/>
        <rFont val="Calibri"/>
        <family val="2"/>
      </rPr>
      <t>B</t>
    </r>
  </si>
  <si>
    <t>L/kg fish ww</t>
  </si>
  <si>
    <t>NA</t>
    <phoneticPr fontId="22" type="noConversion"/>
  </si>
  <si>
    <t>Not required</t>
    <phoneticPr fontId="22" type="noConversion"/>
  </si>
  <si>
    <r>
      <t>φ</t>
    </r>
    <r>
      <rPr>
        <vertAlign val="subscript"/>
        <sz val="10"/>
        <rFont val="Calibri"/>
        <family val="2"/>
      </rPr>
      <t>WD</t>
    </r>
    <r>
      <rPr>
        <sz val="10"/>
        <rFont val="Calibri"/>
        <family val="2"/>
      </rPr>
      <t xml:space="preserve"> = 1/(1+C</t>
    </r>
    <r>
      <rPr>
        <vertAlign val="subscript"/>
        <sz val="10"/>
        <rFont val="Calibri"/>
        <family val="2"/>
      </rPr>
      <t>OC</t>
    </r>
    <r>
      <rPr>
        <sz val="10"/>
        <rFont val="Calibri"/>
        <family val="2"/>
      </rPr>
      <t>·K</t>
    </r>
    <r>
      <rPr>
        <vertAlign val="subscript"/>
        <sz val="10"/>
        <rFont val="Calibri"/>
        <family val="2"/>
      </rPr>
      <t>OC</t>
    </r>
    <r>
      <rPr>
        <sz val="10"/>
        <rFont val="Calibri"/>
        <family val="2"/>
      </rPr>
      <t>)</t>
    </r>
  </si>
  <si>
    <r>
      <t>C</t>
    </r>
    <r>
      <rPr>
        <vertAlign val="subscript"/>
        <sz val="10"/>
        <rFont val="Calibri"/>
        <family val="2"/>
      </rPr>
      <t>WD</t>
    </r>
    <r>
      <rPr>
        <sz val="10"/>
        <rFont val="Calibri"/>
        <family val="2"/>
      </rPr>
      <t xml:space="preserve"> = C</t>
    </r>
    <r>
      <rPr>
        <vertAlign val="subscript"/>
        <sz val="10"/>
        <rFont val="Calibri"/>
        <family val="2"/>
      </rPr>
      <t>WT</t>
    </r>
    <r>
      <rPr>
        <sz val="10"/>
        <rFont val="Calibri"/>
        <family val="2"/>
      </rPr>
      <t>·φ</t>
    </r>
    <r>
      <rPr>
        <vertAlign val="subscript"/>
        <sz val="10"/>
        <rFont val="Calibri"/>
        <family val="2"/>
      </rPr>
      <t>WD</t>
    </r>
  </si>
  <si>
    <t>Gill chemical uptake efficiency</t>
  </si>
  <si>
    <t>Gill ventilation rate</t>
  </si>
  <si>
    <t>L/d</t>
  </si>
  <si>
    <r>
      <t>log K</t>
    </r>
    <r>
      <rPr>
        <vertAlign val="subscript"/>
        <sz val="10"/>
        <color theme="1"/>
        <rFont val="Calibri"/>
        <family val="2"/>
      </rPr>
      <t>PW</t>
    </r>
    <r>
      <rPr>
        <sz val="10"/>
        <color theme="1"/>
        <rFont val="Calibri"/>
        <family val="2"/>
      </rPr>
      <t xml:space="preserve"> = log(χ·K</t>
    </r>
    <r>
      <rPr>
        <vertAlign val="subscript"/>
        <sz val="10"/>
        <color theme="1"/>
        <rFont val="Calibri"/>
        <family val="2"/>
      </rPr>
      <t>OW</t>
    </r>
    <r>
      <rPr>
        <sz val="10"/>
        <color theme="1"/>
        <rFont val="Calibri"/>
        <family val="2"/>
      </rPr>
      <t>) (deBruyn &amp; Gobas 2007)</t>
    </r>
  </si>
  <si>
    <r>
      <t>[k</t>
    </r>
    <r>
      <rPr>
        <vertAlign val="subscript"/>
        <sz val="10"/>
        <color theme="1"/>
        <rFont val="Calibri"/>
        <family val="2"/>
      </rPr>
      <t>BM</t>
    </r>
    <r>
      <rPr>
        <sz val="10"/>
        <color theme="1"/>
        <rFont val="Calibri"/>
        <family val="2"/>
      </rPr>
      <t>/(k</t>
    </r>
    <r>
      <rPr>
        <vertAlign val="subscript"/>
        <sz val="10"/>
        <color theme="1"/>
        <rFont val="Calibri"/>
        <family val="2"/>
      </rPr>
      <t>B2</t>
    </r>
    <r>
      <rPr>
        <sz val="10"/>
        <color theme="1"/>
        <rFont val="Calibri"/>
        <family val="2"/>
      </rPr>
      <t>+k</t>
    </r>
    <r>
      <rPr>
        <vertAlign val="subscript"/>
        <sz val="10"/>
        <color theme="1"/>
        <rFont val="Calibri"/>
        <family val="2"/>
      </rPr>
      <t>BG</t>
    </r>
    <r>
      <rPr>
        <sz val="10"/>
        <color theme="1"/>
        <rFont val="Calibri"/>
        <family val="2"/>
      </rPr>
      <t>+k</t>
    </r>
    <r>
      <rPr>
        <vertAlign val="subscript"/>
        <sz val="10"/>
        <color theme="1"/>
        <rFont val="Calibri"/>
        <family val="2"/>
      </rPr>
      <t>BM</t>
    </r>
    <r>
      <rPr>
        <sz val="10"/>
        <color theme="1"/>
        <rFont val="Calibri"/>
        <family val="2"/>
      </rPr>
      <t>+k</t>
    </r>
    <r>
      <rPr>
        <vertAlign val="subscript"/>
        <sz val="10"/>
        <color theme="1"/>
        <rFont val="Calibri"/>
        <family val="2"/>
      </rPr>
      <t>GD</t>
    </r>
    <r>
      <rPr>
        <sz val="10"/>
        <color theme="1"/>
        <rFont val="Calibri"/>
        <family val="2"/>
      </rPr>
      <t>)]k</t>
    </r>
    <r>
      <rPr>
        <vertAlign val="subscript"/>
        <sz val="10"/>
        <color theme="1"/>
        <rFont val="Calibri"/>
        <family val="2"/>
      </rPr>
      <t>GB</t>
    </r>
    <r>
      <rPr>
        <sz val="10"/>
        <color theme="1"/>
        <rFont val="Calibri"/>
        <family val="2"/>
      </rPr>
      <t>W</t>
    </r>
    <r>
      <rPr>
        <vertAlign val="subscript"/>
        <sz val="10"/>
        <color theme="1"/>
        <rFont val="Calibri"/>
        <family val="2"/>
      </rPr>
      <t>G</t>
    </r>
    <r>
      <rPr>
        <sz val="10"/>
        <color theme="1"/>
        <rFont val="Calibri"/>
        <family val="2"/>
      </rPr>
      <t>C</t>
    </r>
    <r>
      <rPr>
        <vertAlign val="subscript"/>
        <sz val="10"/>
        <color theme="1"/>
        <rFont val="Calibri"/>
        <family val="2"/>
      </rPr>
      <t>G</t>
    </r>
  </si>
  <si>
    <r>
      <t>k</t>
    </r>
    <r>
      <rPr>
        <vertAlign val="subscript"/>
        <sz val="10"/>
        <rFont val="Calibri"/>
        <family val="2"/>
      </rPr>
      <t xml:space="preserve">B1 </t>
    </r>
    <r>
      <rPr>
        <sz val="10"/>
        <rFont val="Calibri"/>
        <family val="2"/>
      </rPr>
      <t>= k</t>
    </r>
    <r>
      <rPr>
        <vertAlign val="subscript"/>
        <sz val="10"/>
        <rFont val="Calibri"/>
        <family val="2"/>
      </rPr>
      <t>B2</t>
    </r>
    <r>
      <rPr>
        <sz val="10"/>
        <rFont val="Calibri"/>
        <family val="2"/>
      </rPr>
      <t>·K</t>
    </r>
    <r>
      <rPr>
        <vertAlign val="subscript"/>
        <sz val="10"/>
        <rFont val="Calibri"/>
        <family val="2"/>
      </rPr>
      <t>BW</t>
    </r>
  </si>
  <si>
    <r>
      <t>k</t>
    </r>
    <r>
      <rPr>
        <vertAlign val="subscript"/>
        <sz val="10"/>
        <rFont val="Calibri"/>
        <family val="2"/>
      </rPr>
      <t>B1</t>
    </r>
    <r>
      <rPr>
        <sz val="10"/>
        <rFont val="Calibri"/>
        <family val="2"/>
      </rPr>
      <t>/[k</t>
    </r>
    <r>
      <rPr>
        <vertAlign val="subscript"/>
        <sz val="10"/>
        <rFont val="Calibri"/>
        <family val="2"/>
      </rPr>
      <t>BT</t>
    </r>
    <r>
      <rPr>
        <sz val="10"/>
        <rFont val="Calibri"/>
        <family val="2"/>
      </rPr>
      <t>·(1+C</t>
    </r>
    <r>
      <rPr>
        <vertAlign val="subscript"/>
        <sz val="10"/>
        <rFont val="Calibri"/>
        <family val="2"/>
      </rPr>
      <t>OC</t>
    </r>
    <r>
      <rPr>
        <sz val="10"/>
        <rFont val="Calibri"/>
        <family val="2"/>
      </rPr>
      <t>·K</t>
    </r>
    <r>
      <rPr>
        <vertAlign val="subscript"/>
        <sz val="10"/>
        <rFont val="Calibri"/>
        <family val="2"/>
      </rPr>
      <t>OC</t>
    </r>
    <r>
      <rPr>
        <sz val="10"/>
        <rFont val="Calibri"/>
        <family val="2"/>
      </rPr>
      <t>)]</t>
    </r>
  </si>
  <si>
    <t>Coefficient m</t>
  </si>
  <si>
    <t>Coefficient n</t>
  </si>
  <si>
    <t>Default value obtained from OXYREF database 1998</t>
  </si>
  <si>
    <r>
      <t>k</t>
    </r>
    <r>
      <rPr>
        <vertAlign val="subscript"/>
        <sz val="10"/>
        <rFont val="Calibri"/>
        <family val="2"/>
      </rPr>
      <t>B1</t>
    </r>
    <r>
      <rPr>
        <sz val="10"/>
        <color rgb="FFFF0000"/>
        <rFont val="Calibri"/>
        <family val="2"/>
      </rPr>
      <t/>
    </r>
  </si>
  <si>
    <r>
      <t>k</t>
    </r>
    <r>
      <rPr>
        <vertAlign val="subscript"/>
        <sz val="10"/>
        <rFont val="Calibri"/>
        <family val="2"/>
      </rPr>
      <t>B1t</t>
    </r>
    <r>
      <rPr>
        <sz val="10"/>
        <color rgb="FFFF0000"/>
        <rFont val="Calibri"/>
        <family val="2"/>
      </rPr>
      <t/>
    </r>
  </si>
  <si>
    <r>
      <t>k</t>
    </r>
    <r>
      <rPr>
        <vertAlign val="subscript"/>
        <sz val="10"/>
        <rFont val="Calibri"/>
        <family val="2"/>
      </rPr>
      <t>B2</t>
    </r>
    <r>
      <rPr>
        <sz val="10"/>
        <color rgb="FFFF0000"/>
        <rFont val="Calibri"/>
        <family val="2"/>
      </rPr>
      <t/>
    </r>
  </si>
  <si>
    <r>
      <t>E</t>
    </r>
    <r>
      <rPr>
        <vertAlign val="subscript"/>
        <sz val="10"/>
        <rFont val="Calibri"/>
        <family val="2"/>
      </rPr>
      <t>W</t>
    </r>
  </si>
  <si>
    <r>
      <t>G</t>
    </r>
    <r>
      <rPr>
        <vertAlign val="subscript"/>
        <sz val="10"/>
        <rFont val="Calibri"/>
        <family val="2"/>
      </rPr>
      <t>V</t>
    </r>
  </si>
  <si>
    <r>
      <t>E</t>
    </r>
    <r>
      <rPr>
        <vertAlign val="subscript"/>
        <sz val="10"/>
        <rFont val="Calibri"/>
        <family val="2"/>
      </rPr>
      <t>W</t>
    </r>
    <r>
      <rPr>
        <sz val="10"/>
        <rFont val="Calibri"/>
        <family val="2"/>
      </rPr>
      <t xml:space="preserve"> = (1.78+152.5/K</t>
    </r>
    <r>
      <rPr>
        <vertAlign val="subscript"/>
        <sz val="10"/>
        <rFont val="Calibri"/>
        <family val="2"/>
      </rPr>
      <t>OW</t>
    </r>
    <r>
      <rPr>
        <sz val="10"/>
        <rFont val="Calibri"/>
        <family val="2"/>
      </rPr>
      <t>)</t>
    </r>
    <r>
      <rPr>
        <vertAlign val="superscript"/>
        <sz val="10"/>
        <rFont val="Calibri"/>
        <family val="2"/>
      </rPr>
      <t>-1</t>
    </r>
  </si>
  <si>
    <r>
      <t>C</t>
    </r>
    <r>
      <rPr>
        <vertAlign val="subscript"/>
        <sz val="10"/>
        <rFont val="Calibri"/>
        <family val="2"/>
      </rPr>
      <t>OX</t>
    </r>
  </si>
  <si>
    <r>
      <t>mg O</t>
    </r>
    <r>
      <rPr>
        <vertAlign val="subscript"/>
        <sz val="10"/>
        <rFont val="Calibri"/>
        <family val="2"/>
      </rPr>
      <t>2</t>
    </r>
    <r>
      <rPr>
        <sz val="10"/>
        <rFont val="Calibri"/>
        <family val="2"/>
      </rPr>
      <t>/L</t>
    </r>
  </si>
  <si>
    <r>
      <t>Default: C</t>
    </r>
    <r>
      <rPr>
        <vertAlign val="subscript"/>
        <sz val="10"/>
        <rFont val="Calibri"/>
        <family val="2"/>
      </rPr>
      <t>OX</t>
    </r>
    <r>
      <rPr>
        <sz val="10"/>
        <rFont val="Calibri"/>
        <family val="2"/>
      </rPr>
      <t xml:space="preserve"> = (-0.24·T + 14.04)·S (Arnot &amp; Gobas 2004); assume the degree of O</t>
    </r>
    <r>
      <rPr>
        <vertAlign val="subscript"/>
        <sz val="10"/>
        <rFont val="Calibri"/>
        <family val="2"/>
      </rPr>
      <t>2</t>
    </r>
    <r>
      <rPr>
        <sz val="10"/>
        <rFont val="Calibri"/>
        <family val="2"/>
      </rPr>
      <t xml:space="preserve"> saturation of the water column (S)= 90%</t>
    </r>
  </si>
  <si>
    <t>Default value obtained from Gobas &amp; Mackay 1987</t>
  </si>
  <si>
    <r>
      <t>Empirical relationship between K</t>
    </r>
    <r>
      <rPr>
        <b/>
        <vertAlign val="subscript"/>
        <sz val="10"/>
        <rFont val="Calibri"/>
        <family val="2"/>
      </rPr>
      <t>OW</t>
    </r>
    <r>
      <rPr>
        <b/>
        <sz val="10"/>
        <rFont val="Calibri"/>
        <family val="2"/>
      </rPr>
      <t xml:space="preserve"> and gill chemical uptake efficiency (E</t>
    </r>
    <r>
      <rPr>
        <b/>
        <vertAlign val="subscript"/>
        <sz val="10"/>
        <rFont val="Calibri"/>
        <family val="2"/>
      </rPr>
      <t>W</t>
    </r>
    <r>
      <rPr>
        <b/>
        <sz val="10"/>
        <rFont val="Calibri"/>
        <family val="2"/>
      </rPr>
      <t>)</t>
    </r>
  </si>
  <si>
    <r>
      <t>E</t>
    </r>
    <r>
      <rPr>
        <b/>
        <vertAlign val="subscript"/>
        <sz val="10"/>
        <rFont val="Calibri"/>
        <family val="2"/>
      </rPr>
      <t>W</t>
    </r>
    <r>
      <rPr>
        <b/>
        <sz val="10"/>
        <rFont val="Calibri"/>
        <family val="2"/>
      </rPr>
      <t xml:space="preserve"> = (C</t>
    </r>
    <r>
      <rPr>
        <b/>
        <vertAlign val="subscript"/>
        <sz val="10"/>
        <rFont val="Calibri"/>
        <family val="2"/>
      </rPr>
      <t>1</t>
    </r>
    <r>
      <rPr>
        <b/>
        <sz val="10"/>
        <rFont val="Calibri"/>
        <family val="2"/>
      </rPr>
      <t>+C</t>
    </r>
    <r>
      <rPr>
        <b/>
        <vertAlign val="subscript"/>
        <sz val="10"/>
        <rFont val="Calibri"/>
        <family val="2"/>
      </rPr>
      <t>2</t>
    </r>
    <r>
      <rPr>
        <b/>
        <sz val="10"/>
        <rFont val="Calibri"/>
        <family val="2"/>
      </rPr>
      <t>/K</t>
    </r>
    <r>
      <rPr>
        <b/>
        <vertAlign val="subscript"/>
        <sz val="10"/>
        <rFont val="Calibri"/>
        <family val="2"/>
      </rPr>
      <t>OW</t>
    </r>
    <r>
      <rPr>
        <b/>
        <sz val="10"/>
        <rFont val="Calibri"/>
        <family val="2"/>
      </rPr>
      <t>)</t>
    </r>
    <r>
      <rPr>
        <b/>
        <vertAlign val="superscript"/>
        <sz val="10"/>
        <rFont val="Calibri"/>
        <family val="2"/>
      </rPr>
      <t>-1</t>
    </r>
  </si>
  <si>
    <r>
      <t>Coefficient C</t>
    </r>
    <r>
      <rPr>
        <vertAlign val="subscript"/>
        <sz val="10"/>
        <rFont val="Calibri"/>
        <family val="2"/>
      </rPr>
      <t>1</t>
    </r>
  </si>
  <si>
    <r>
      <t>C</t>
    </r>
    <r>
      <rPr>
        <vertAlign val="subscript"/>
        <sz val="10"/>
        <rFont val="Calibri"/>
        <family val="2"/>
      </rPr>
      <t>1</t>
    </r>
  </si>
  <si>
    <r>
      <t>Coefficient C</t>
    </r>
    <r>
      <rPr>
        <vertAlign val="subscript"/>
        <sz val="10"/>
        <rFont val="Calibri"/>
        <family val="2"/>
      </rPr>
      <t>2</t>
    </r>
  </si>
  <si>
    <r>
      <t>C</t>
    </r>
    <r>
      <rPr>
        <vertAlign val="subscript"/>
        <sz val="10"/>
        <rFont val="Calibri"/>
        <family val="2"/>
      </rPr>
      <t>2</t>
    </r>
  </si>
  <si>
    <r>
      <t>Standard error of C</t>
    </r>
    <r>
      <rPr>
        <vertAlign val="subscript"/>
        <sz val="10"/>
        <rFont val="Calibri"/>
        <family val="2"/>
      </rPr>
      <t>1</t>
    </r>
  </si>
  <si>
    <r>
      <t>SE(C</t>
    </r>
    <r>
      <rPr>
        <vertAlign val="subscript"/>
        <sz val="10"/>
        <rFont val="Calibri"/>
        <family val="2"/>
      </rPr>
      <t>1</t>
    </r>
    <r>
      <rPr>
        <sz val="10"/>
        <rFont val="Calibri"/>
        <family val="2"/>
      </rPr>
      <t>)</t>
    </r>
  </si>
  <si>
    <r>
      <t>Standard error of C</t>
    </r>
    <r>
      <rPr>
        <vertAlign val="subscript"/>
        <sz val="10"/>
        <rFont val="Calibri"/>
        <family val="2"/>
      </rPr>
      <t>2</t>
    </r>
  </si>
  <si>
    <r>
      <t>SE(C</t>
    </r>
    <r>
      <rPr>
        <vertAlign val="subscript"/>
        <sz val="10"/>
        <rFont val="Calibri"/>
        <family val="2"/>
      </rPr>
      <t>2</t>
    </r>
    <r>
      <rPr>
        <sz val="10"/>
        <rFont val="Calibri"/>
        <family val="2"/>
      </rPr>
      <t>)</t>
    </r>
  </si>
  <si>
    <r>
      <t>Covariance of C</t>
    </r>
    <r>
      <rPr>
        <vertAlign val="subscript"/>
        <sz val="10"/>
        <rFont val="Calibri"/>
        <family val="2"/>
      </rPr>
      <t>1</t>
    </r>
    <r>
      <rPr>
        <sz val="10"/>
        <rFont val="Calibri"/>
        <family val="2"/>
      </rPr>
      <t xml:space="preserve"> and C</t>
    </r>
    <r>
      <rPr>
        <vertAlign val="subscript"/>
        <sz val="10"/>
        <rFont val="Calibri"/>
        <family val="2"/>
      </rPr>
      <t>2</t>
    </r>
  </si>
  <si>
    <r>
      <t>Cov(C</t>
    </r>
    <r>
      <rPr>
        <vertAlign val="subscript"/>
        <sz val="10"/>
        <rFont val="Calibri"/>
        <family val="2"/>
      </rPr>
      <t>1</t>
    </r>
    <r>
      <rPr>
        <sz val="10"/>
        <rFont val="Calibri"/>
        <family val="2"/>
      </rPr>
      <t>,C</t>
    </r>
    <r>
      <rPr>
        <vertAlign val="subscript"/>
        <sz val="10"/>
        <rFont val="Calibri"/>
        <family val="2"/>
      </rPr>
      <t>2</t>
    </r>
    <r>
      <rPr>
        <sz val="10"/>
        <rFont val="Calibri"/>
        <family val="2"/>
      </rPr>
      <t>)</t>
    </r>
  </si>
  <si>
    <r>
      <t>Allometric relationship between fish body weight (W</t>
    </r>
    <r>
      <rPr>
        <b/>
        <vertAlign val="subscript"/>
        <sz val="10"/>
        <rFont val="Calibri"/>
        <family val="2"/>
      </rPr>
      <t>B</t>
    </r>
    <r>
      <rPr>
        <b/>
        <sz val="10"/>
        <rFont val="Calibri"/>
        <family val="2"/>
      </rPr>
      <t>) and its oxygen consumption (O</t>
    </r>
    <r>
      <rPr>
        <b/>
        <vertAlign val="subscript"/>
        <sz val="10"/>
        <rFont val="Calibri"/>
        <family val="2"/>
      </rPr>
      <t>X</t>
    </r>
    <r>
      <rPr>
        <b/>
        <sz val="10"/>
        <rFont val="Calibri"/>
        <family val="2"/>
      </rPr>
      <t>; mg O</t>
    </r>
    <r>
      <rPr>
        <b/>
        <vertAlign val="subscript"/>
        <sz val="10"/>
        <rFont val="Calibri"/>
        <family val="2"/>
      </rPr>
      <t>2</t>
    </r>
    <r>
      <rPr>
        <b/>
        <sz val="10"/>
        <rFont val="Calibri"/>
        <family val="2"/>
      </rPr>
      <t>/kg ww/d)</t>
    </r>
  </si>
  <si>
    <r>
      <t>log O</t>
    </r>
    <r>
      <rPr>
        <b/>
        <vertAlign val="subscript"/>
        <sz val="10"/>
        <rFont val="Calibri"/>
        <family val="2"/>
      </rPr>
      <t>X</t>
    </r>
    <r>
      <rPr>
        <b/>
        <sz val="10"/>
        <rFont val="Calibri"/>
        <family val="2"/>
      </rPr>
      <t xml:space="preserve"> = C</t>
    </r>
    <r>
      <rPr>
        <b/>
        <vertAlign val="subscript"/>
        <sz val="10"/>
        <rFont val="Calibri"/>
        <family val="2"/>
      </rPr>
      <t>3</t>
    </r>
    <r>
      <rPr>
        <b/>
        <sz val="10"/>
        <rFont val="Calibri"/>
        <family val="2"/>
      </rPr>
      <t>·log W</t>
    </r>
    <r>
      <rPr>
        <b/>
        <vertAlign val="subscript"/>
        <sz val="10"/>
        <rFont val="Calibri"/>
        <family val="2"/>
      </rPr>
      <t>B</t>
    </r>
    <r>
      <rPr>
        <b/>
        <sz val="10"/>
        <rFont val="Calibri"/>
        <family val="2"/>
      </rPr>
      <t>+C</t>
    </r>
    <r>
      <rPr>
        <b/>
        <vertAlign val="subscript"/>
        <sz val="10"/>
        <rFont val="Calibri"/>
        <family val="2"/>
      </rPr>
      <t>4</t>
    </r>
    <r>
      <rPr>
        <b/>
        <sz val="10"/>
        <color rgb="FFFF0000"/>
        <rFont val="Calibri"/>
        <family val="2"/>
      </rPr>
      <t/>
    </r>
  </si>
  <si>
    <r>
      <t>Coefficient C</t>
    </r>
    <r>
      <rPr>
        <vertAlign val="subscript"/>
        <sz val="10"/>
        <rFont val="Calibri"/>
        <family val="2"/>
      </rPr>
      <t>3</t>
    </r>
  </si>
  <si>
    <r>
      <t>C</t>
    </r>
    <r>
      <rPr>
        <vertAlign val="subscript"/>
        <sz val="10"/>
        <rFont val="Calibri"/>
        <family val="2"/>
      </rPr>
      <t>3</t>
    </r>
  </si>
  <si>
    <r>
      <t>C</t>
    </r>
    <r>
      <rPr>
        <vertAlign val="subscript"/>
        <sz val="10"/>
        <rFont val="Calibri"/>
        <family val="2"/>
      </rPr>
      <t>4</t>
    </r>
  </si>
  <si>
    <r>
      <t>Standard error of C</t>
    </r>
    <r>
      <rPr>
        <vertAlign val="subscript"/>
        <sz val="10"/>
        <rFont val="Calibri"/>
        <family val="2"/>
      </rPr>
      <t>4</t>
    </r>
  </si>
  <si>
    <r>
      <t>SE(C</t>
    </r>
    <r>
      <rPr>
        <vertAlign val="subscript"/>
        <sz val="10"/>
        <rFont val="Calibri"/>
        <family val="2"/>
      </rPr>
      <t>3</t>
    </r>
    <r>
      <rPr>
        <sz val="10"/>
        <rFont val="Calibri"/>
        <family val="2"/>
      </rPr>
      <t>)</t>
    </r>
  </si>
  <si>
    <r>
      <t>SE(C</t>
    </r>
    <r>
      <rPr>
        <vertAlign val="subscript"/>
        <sz val="10"/>
        <rFont val="Calibri"/>
        <family val="2"/>
      </rPr>
      <t>4</t>
    </r>
    <r>
      <rPr>
        <sz val="10"/>
        <rFont val="Calibri"/>
        <family val="2"/>
      </rPr>
      <t>)</t>
    </r>
  </si>
  <si>
    <r>
      <t>Covariance of C</t>
    </r>
    <r>
      <rPr>
        <vertAlign val="subscript"/>
        <sz val="10"/>
        <rFont val="Calibri"/>
        <family val="2"/>
      </rPr>
      <t>3</t>
    </r>
    <r>
      <rPr>
        <sz val="10"/>
        <rFont val="Calibri"/>
        <family val="2"/>
      </rPr>
      <t xml:space="preserve"> and C</t>
    </r>
    <r>
      <rPr>
        <vertAlign val="subscript"/>
        <sz val="10"/>
        <rFont val="Calibri"/>
        <family val="2"/>
      </rPr>
      <t>4</t>
    </r>
  </si>
  <si>
    <r>
      <t>Cov(C</t>
    </r>
    <r>
      <rPr>
        <vertAlign val="subscript"/>
        <sz val="10"/>
        <rFont val="Calibri"/>
        <family val="2"/>
      </rPr>
      <t>3</t>
    </r>
    <r>
      <rPr>
        <sz val="10"/>
        <rFont val="Calibri"/>
        <family val="2"/>
      </rPr>
      <t>,C</t>
    </r>
    <r>
      <rPr>
        <vertAlign val="subscript"/>
        <sz val="10"/>
        <rFont val="Calibri"/>
        <family val="2"/>
      </rPr>
      <t>4</t>
    </r>
    <r>
      <rPr>
        <sz val="10"/>
        <rFont val="Calibri"/>
        <family val="2"/>
      </rPr>
      <t>)</t>
    </r>
  </si>
  <si>
    <r>
      <t>Partial derivative of k</t>
    </r>
    <r>
      <rPr>
        <vertAlign val="subscript"/>
        <sz val="10"/>
        <rFont val="Calibri"/>
        <family val="2"/>
      </rPr>
      <t>BT,R</t>
    </r>
    <r>
      <rPr>
        <sz val="10"/>
        <rFont val="Calibri"/>
        <family val="2"/>
      </rPr>
      <t xml:space="preserve"> with respect to C</t>
    </r>
    <r>
      <rPr>
        <vertAlign val="subscript"/>
        <sz val="10"/>
        <rFont val="Calibri"/>
        <family val="2"/>
      </rPr>
      <t>1</t>
    </r>
  </si>
  <si>
    <r>
      <t>ək</t>
    </r>
    <r>
      <rPr>
        <vertAlign val="subscript"/>
        <sz val="10"/>
        <rFont val="Calibri"/>
        <family val="2"/>
      </rPr>
      <t>BT,R</t>
    </r>
    <r>
      <rPr>
        <sz val="10"/>
        <rFont val="Calibri"/>
        <family val="2"/>
      </rPr>
      <t>/əC</t>
    </r>
    <r>
      <rPr>
        <vertAlign val="subscript"/>
        <sz val="10"/>
        <rFont val="Calibri"/>
        <family val="2"/>
      </rPr>
      <t>1</t>
    </r>
  </si>
  <si>
    <r>
      <t>ək</t>
    </r>
    <r>
      <rPr>
        <vertAlign val="subscript"/>
        <sz val="10"/>
        <rFont val="Calibri"/>
        <family val="2"/>
      </rPr>
      <t>BT,R</t>
    </r>
    <r>
      <rPr>
        <sz val="10"/>
        <rFont val="Calibri"/>
        <family val="2"/>
      </rPr>
      <t>/əC</t>
    </r>
    <r>
      <rPr>
        <vertAlign val="subscript"/>
        <sz val="10"/>
        <rFont val="Calibri"/>
        <family val="2"/>
      </rPr>
      <t>1</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t>
    </r>
    <r>
      <rPr>
        <vertAlign val="superscript"/>
        <sz val="10"/>
        <rFont val="Calibri"/>
        <family val="2"/>
      </rPr>
      <t>2</t>
    </r>
    <r>
      <rPr>
        <sz val="10"/>
        <rFont val="Calibri"/>
        <family val="2"/>
      </rPr>
      <t>·C</t>
    </r>
    <r>
      <rPr>
        <vertAlign val="subscript"/>
        <sz val="10"/>
        <rFont val="Calibri"/>
        <family val="2"/>
      </rPr>
      <t>OX</t>
    </r>
    <r>
      <rPr>
        <sz val="10"/>
        <rFont val="Calibri"/>
        <family val="2"/>
      </rPr>
      <t>·K</t>
    </r>
    <r>
      <rPr>
        <vertAlign val="subscript"/>
        <sz val="10"/>
        <rFont val="Calibri"/>
        <family val="2"/>
      </rPr>
      <t>BW</t>
    </r>
    <r>
      <rPr>
        <sz val="10"/>
        <rFont val="Calibri"/>
        <family val="2"/>
      </rPr>
      <t>]</t>
    </r>
  </si>
  <si>
    <r>
      <t>Partial derivative of k</t>
    </r>
    <r>
      <rPr>
        <vertAlign val="subscript"/>
        <sz val="10"/>
        <rFont val="Calibri"/>
        <family val="2"/>
      </rPr>
      <t>BT,R</t>
    </r>
    <r>
      <rPr>
        <sz val="10"/>
        <rFont val="Calibri"/>
        <family val="2"/>
      </rPr>
      <t xml:space="preserve"> with respect to C</t>
    </r>
    <r>
      <rPr>
        <vertAlign val="subscript"/>
        <sz val="10"/>
        <rFont val="Calibri"/>
        <family val="2"/>
      </rPr>
      <t>2</t>
    </r>
  </si>
  <si>
    <r>
      <t>ək</t>
    </r>
    <r>
      <rPr>
        <vertAlign val="subscript"/>
        <sz val="10"/>
        <rFont val="Calibri"/>
        <family val="2"/>
      </rPr>
      <t>BT,R</t>
    </r>
    <r>
      <rPr>
        <sz val="10"/>
        <rFont val="Calibri"/>
        <family val="2"/>
      </rPr>
      <t>/əC</t>
    </r>
    <r>
      <rPr>
        <vertAlign val="subscript"/>
        <sz val="10"/>
        <rFont val="Calibri"/>
        <family val="2"/>
      </rPr>
      <t>2</t>
    </r>
  </si>
  <si>
    <r>
      <t>ək</t>
    </r>
    <r>
      <rPr>
        <vertAlign val="subscript"/>
        <sz val="10"/>
        <rFont val="Calibri"/>
        <family val="2"/>
      </rPr>
      <t>BT,R</t>
    </r>
    <r>
      <rPr>
        <sz val="10"/>
        <rFont val="Calibri"/>
        <family val="2"/>
      </rPr>
      <t>/əC</t>
    </r>
    <r>
      <rPr>
        <vertAlign val="subscript"/>
        <sz val="10"/>
        <rFont val="Calibri"/>
        <family val="2"/>
      </rPr>
      <t>2</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t>
    </r>
    <r>
      <rPr>
        <vertAlign val="super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sz val="10"/>
        <rFont val="Calibri"/>
        <family val="2"/>
      </rPr>
      <t>·K</t>
    </r>
    <r>
      <rPr>
        <vertAlign val="subscript"/>
        <sz val="10"/>
        <rFont val="Calibri"/>
        <family val="2"/>
      </rPr>
      <t>BW</t>
    </r>
    <r>
      <rPr>
        <sz val="10"/>
        <rFont val="Calibri"/>
        <family val="2"/>
      </rPr>
      <t>]</t>
    </r>
  </si>
  <si>
    <r>
      <t>Partial derivative of k</t>
    </r>
    <r>
      <rPr>
        <vertAlign val="subscript"/>
        <sz val="10"/>
        <rFont val="Calibri"/>
        <family val="2"/>
      </rPr>
      <t>BT,R</t>
    </r>
    <r>
      <rPr>
        <sz val="10"/>
        <rFont val="Calibri"/>
        <family val="2"/>
      </rPr>
      <t xml:space="preserve"> with respect to C</t>
    </r>
    <r>
      <rPr>
        <vertAlign val="subscript"/>
        <sz val="10"/>
        <rFont val="Calibri"/>
        <family val="2"/>
      </rPr>
      <t>3</t>
    </r>
  </si>
  <si>
    <r>
      <t>ək</t>
    </r>
    <r>
      <rPr>
        <vertAlign val="subscript"/>
        <sz val="10"/>
        <rFont val="Calibri"/>
        <family val="2"/>
      </rPr>
      <t>BT,R</t>
    </r>
    <r>
      <rPr>
        <sz val="10"/>
        <rFont val="Calibri"/>
        <family val="2"/>
      </rPr>
      <t>/əC</t>
    </r>
    <r>
      <rPr>
        <vertAlign val="subscript"/>
        <sz val="10"/>
        <rFont val="Calibri"/>
        <family val="2"/>
      </rPr>
      <t>3</t>
    </r>
  </si>
  <si>
    <r>
      <t>ək</t>
    </r>
    <r>
      <rPr>
        <vertAlign val="subscript"/>
        <sz val="10"/>
        <rFont val="Calibri"/>
        <family val="2"/>
      </rPr>
      <t>BT,R</t>
    </r>
    <r>
      <rPr>
        <sz val="10"/>
        <rFont val="Calibri"/>
        <family val="2"/>
      </rPr>
      <t>/əC</t>
    </r>
    <r>
      <rPr>
        <vertAlign val="subscript"/>
        <sz val="10"/>
        <rFont val="Calibri"/>
        <family val="2"/>
      </rPr>
      <t>3</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·ln(W</t>
    </r>
    <r>
      <rPr>
        <vertAlign val="subscript"/>
        <sz val="10"/>
        <rFont val="Calibri"/>
        <family val="2"/>
      </rPr>
      <t>B</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sz val="10"/>
        <rFont val="Calibri"/>
        <family val="2"/>
      </rPr>
      <t>·K</t>
    </r>
    <r>
      <rPr>
        <vertAlign val="subscript"/>
        <sz val="10"/>
        <rFont val="Calibri"/>
        <family val="2"/>
      </rPr>
      <t>BW</t>
    </r>
    <r>
      <rPr>
        <sz val="10"/>
        <rFont val="Calibri"/>
        <family val="2"/>
      </rPr>
      <t>]</t>
    </r>
  </si>
  <si>
    <r>
      <t>Partial derivative of k</t>
    </r>
    <r>
      <rPr>
        <vertAlign val="subscript"/>
        <sz val="10"/>
        <rFont val="Calibri"/>
        <family val="2"/>
      </rPr>
      <t>BT,R</t>
    </r>
    <r>
      <rPr>
        <sz val="10"/>
        <rFont val="Calibri"/>
        <family val="2"/>
      </rPr>
      <t xml:space="preserve"> with respect to C</t>
    </r>
    <r>
      <rPr>
        <vertAlign val="subscript"/>
        <sz val="10"/>
        <rFont val="Calibri"/>
        <family val="2"/>
      </rPr>
      <t>4</t>
    </r>
  </si>
  <si>
    <r>
      <t>ək</t>
    </r>
    <r>
      <rPr>
        <vertAlign val="subscript"/>
        <sz val="10"/>
        <rFont val="Calibri"/>
        <family val="2"/>
      </rPr>
      <t>BT,R</t>
    </r>
    <r>
      <rPr>
        <sz val="10"/>
        <rFont val="Calibri"/>
        <family val="2"/>
      </rPr>
      <t>/əC</t>
    </r>
    <r>
      <rPr>
        <vertAlign val="subscript"/>
        <sz val="10"/>
        <rFont val="Calibri"/>
        <family val="2"/>
      </rPr>
      <t>4</t>
    </r>
  </si>
  <si>
    <r>
      <t>ək</t>
    </r>
    <r>
      <rPr>
        <vertAlign val="subscript"/>
        <sz val="10"/>
        <rFont val="Calibri"/>
        <family val="2"/>
      </rPr>
      <t>BT,R</t>
    </r>
    <r>
      <rPr>
        <sz val="10"/>
        <rFont val="Calibri"/>
        <family val="2"/>
      </rPr>
      <t>/əC</t>
    </r>
    <r>
      <rPr>
        <vertAlign val="subscript"/>
        <sz val="10"/>
        <rFont val="Calibri"/>
        <family val="2"/>
      </rPr>
      <t>4</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·10</t>
    </r>
    <r>
      <rPr>
        <vertAlign val="superscript"/>
        <sz val="10"/>
        <rFont val="Calibri"/>
        <family val="2"/>
      </rPr>
      <t>C4</t>
    </r>
    <r>
      <rPr>
        <sz val="10"/>
        <rFont val="Calibri"/>
        <family val="2"/>
      </rPr>
      <t>·ln(10)/[(C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sz val="10"/>
        <rFont val="Calibri"/>
        <family val="2"/>
      </rPr>
      <t>·K</t>
    </r>
    <r>
      <rPr>
        <vertAlign val="subscript"/>
        <sz val="10"/>
        <rFont val="Calibri"/>
        <family val="2"/>
      </rPr>
      <t>BW</t>
    </r>
    <r>
      <rPr>
        <sz val="10"/>
        <rFont val="Calibri"/>
        <family val="2"/>
      </rPr>
      <t>]</t>
    </r>
  </si>
  <si>
    <r>
      <t>Partial derivative of k</t>
    </r>
    <r>
      <rPr>
        <vertAlign val="subscript"/>
        <sz val="10"/>
        <rFont val="Calibri"/>
        <family val="2"/>
      </rPr>
      <t>BT,R</t>
    </r>
    <r>
      <rPr>
        <sz val="10"/>
        <rFont val="Calibri"/>
        <family val="2"/>
      </rPr>
      <t xml:space="preserve"> with respect to W</t>
    </r>
    <r>
      <rPr>
        <vertAlign val="subscript"/>
        <sz val="10"/>
        <rFont val="Calibri"/>
        <family val="2"/>
      </rPr>
      <t>B</t>
    </r>
  </si>
  <si>
    <r>
      <t>ək</t>
    </r>
    <r>
      <rPr>
        <vertAlign val="subscript"/>
        <sz val="10"/>
        <rFont val="Calibri"/>
        <family val="2"/>
      </rPr>
      <t>BT,R</t>
    </r>
    <r>
      <rPr>
        <sz val="10"/>
        <rFont val="Calibri"/>
        <family val="2"/>
      </rPr>
      <t>/əW</t>
    </r>
    <r>
      <rPr>
        <vertAlign val="subscript"/>
        <sz val="10"/>
        <rFont val="Calibri"/>
        <family val="2"/>
      </rPr>
      <t>B</t>
    </r>
  </si>
  <si>
    <r>
      <t>Partial derivative of k</t>
    </r>
    <r>
      <rPr>
        <vertAlign val="subscript"/>
        <sz val="10"/>
        <rFont val="Calibri"/>
        <family val="2"/>
      </rPr>
      <t>BT,R</t>
    </r>
    <r>
      <rPr>
        <sz val="10"/>
        <rFont val="Calibri"/>
        <family val="2"/>
      </rPr>
      <t xml:space="preserve"> with respect to k</t>
    </r>
    <r>
      <rPr>
        <vertAlign val="subscript"/>
        <sz val="10"/>
        <rFont val="Calibri"/>
        <family val="2"/>
      </rPr>
      <t>GD</t>
    </r>
  </si>
  <si>
    <r>
      <t>ək</t>
    </r>
    <r>
      <rPr>
        <vertAlign val="subscript"/>
        <sz val="10"/>
        <rFont val="Calibri"/>
        <family val="2"/>
      </rPr>
      <t>BT,R</t>
    </r>
    <r>
      <rPr>
        <sz val="10"/>
        <rFont val="Calibri"/>
        <family val="2"/>
      </rPr>
      <t>/ək</t>
    </r>
    <r>
      <rPr>
        <vertAlign val="subscript"/>
        <sz val="10"/>
        <rFont val="Calibri"/>
        <family val="2"/>
      </rPr>
      <t>GD</t>
    </r>
  </si>
  <si>
    <r>
      <t>ək</t>
    </r>
    <r>
      <rPr>
        <vertAlign val="subscript"/>
        <sz val="10"/>
        <rFont val="Calibri"/>
        <family val="2"/>
      </rPr>
      <t>BT,R</t>
    </r>
    <r>
      <rPr>
        <sz val="10"/>
        <rFont val="Calibri"/>
        <family val="2"/>
      </rPr>
      <t>/ək</t>
    </r>
    <r>
      <rPr>
        <vertAlign val="subscript"/>
        <sz val="10"/>
        <rFont val="Calibri"/>
        <family val="2"/>
      </rPr>
      <t>GD</t>
    </r>
    <r>
      <rPr>
        <sz val="10"/>
        <rFont val="Calibri"/>
        <family val="2"/>
      </rPr>
      <t xml:space="preserve"> = 1</t>
    </r>
  </si>
  <si>
    <r>
      <t>Standard error of k</t>
    </r>
    <r>
      <rPr>
        <vertAlign val="subscript"/>
        <sz val="10"/>
        <rFont val="Calibri"/>
        <family val="2"/>
      </rPr>
      <t>BT,R</t>
    </r>
  </si>
  <si>
    <r>
      <t>Standard error of k</t>
    </r>
    <r>
      <rPr>
        <vertAlign val="subscript"/>
        <sz val="10"/>
        <rFont val="Calibri"/>
        <family val="2"/>
      </rPr>
      <t>B1</t>
    </r>
  </si>
  <si>
    <r>
      <t>SE(k</t>
    </r>
    <r>
      <rPr>
        <vertAlign val="subscript"/>
        <sz val="10"/>
        <rFont val="Calibri"/>
        <family val="2"/>
      </rPr>
      <t>B1</t>
    </r>
    <r>
      <rPr>
        <sz val="10"/>
        <rFont val="Calibri"/>
        <family val="2"/>
      </rPr>
      <t>)</t>
    </r>
  </si>
  <si>
    <r>
      <t>SE(k</t>
    </r>
    <r>
      <rPr>
        <vertAlign val="subscript"/>
        <sz val="10"/>
        <rFont val="Calibri"/>
        <family val="2"/>
      </rPr>
      <t>B1</t>
    </r>
    <r>
      <rPr>
        <sz val="10"/>
        <rFont val="Calibri"/>
        <family val="2"/>
      </rPr>
      <t>) = SE(k</t>
    </r>
    <r>
      <rPr>
        <vertAlign val="subscript"/>
        <sz val="10"/>
        <rFont val="Calibri"/>
        <family val="2"/>
      </rPr>
      <t>B2</t>
    </r>
    <r>
      <rPr>
        <sz val="10"/>
        <rFont val="Calibri"/>
        <family val="2"/>
      </rPr>
      <t>)·K</t>
    </r>
    <r>
      <rPr>
        <vertAlign val="subscript"/>
        <sz val="10"/>
        <rFont val="Calibri"/>
        <family val="2"/>
      </rPr>
      <t>BW</t>
    </r>
  </si>
  <si>
    <r>
      <t>Standard error of k</t>
    </r>
    <r>
      <rPr>
        <vertAlign val="subscript"/>
        <sz val="10"/>
        <rFont val="Calibri"/>
        <family val="2"/>
      </rPr>
      <t>B1t</t>
    </r>
  </si>
  <si>
    <r>
      <t>SE(k</t>
    </r>
    <r>
      <rPr>
        <vertAlign val="subscript"/>
        <sz val="10"/>
        <rFont val="Calibri"/>
        <family val="2"/>
      </rPr>
      <t>B1t</t>
    </r>
    <r>
      <rPr>
        <sz val="10"/>
        <rFont val="Calibri"/>
        <family val="2"/>
      </rPr>
      <t>)</t>
    </r>
  </si>
  <si>
    <r>
      <t>Standard error of k</t>
    </r>
    <r>
      <rPr>
        <vertAlign val="subscript"/>
        <sz val="10"/>
        <rFont val="Calibri"/>
        <family val="2"/>
      </rPr>
      <t>B2</t>
    </r>
  </si>
  <si>
    <t>Significance level</t>
  </si>
  <si>
    <t>Bioaccumulation Potential Assessment</t>
  </si>
  <si>
    <t>Statistically significant?</t>
  </si>
  <si>
    <t>Assumptions</t>
  </si>
  <si>
    <t>- The sampling distribution of the test statistic is assumed to follow a Student’s t-distribution.</t>
  </si>
  <si>
    <t>kg food dw/kg fish ww</t>
  </si>
  <si>
    <t>kg food/kg fish ww/d</t>
  </si>
  <si>
    <t>L water/kg fish ww/d</t>
  </si>
  <si>
    <r>
      <t>kg food kg fish ww</t>
    </r>
    <r>
      <rPr>
        <vertAlign val="superscript"/>
        <sz val="10"/>
        <rFont val="Calibri"/>
        <family val="2"/>
      </rPr>
      <t>-1</t>
    </r>
    <r>
      <rPr>
        <sz val="10"/>
        <rFont val="Calibri"/>
        <family val="2"/>
      </rPr>
      <t xml:space="preserve"> d</t>
    </r>
    <r>
      <rPr>
        <vertAlign val="superscript"/>
        <sz val="10"/>
        <rFont val="Calibri"/>
        <family val="2"/>
      </rPr>
      <t>-1</t>
    </r>
  </si>
  <si>
    <t>kg lipid/kg fish ww</t>
  </si>
  <si>
    <t>kg protein/kg fish ww</t>
  </si>
  <si>
    <t>L water/kg fish ww</t>
  </si>
  <si>
    <t>g chemical/kg fish ww</t>
  </si>
  <si>
    <t>Rate constant for fecal egestion from the GI tract</t>
  </si>
  <si>
    <t>Enter yes or no</t>
  </si>
  <si>
    <r>
      <t>Partial derivative of k</t>
    </r>
    <r>
      <rPr>
        <vertAlign val="subscript"/>
        <sz val="10"/>
        <rFont val="Calibri"/>
        <family val="2"/>
      </rPr>
      <t>BG</t>
    </r>
    <r>
      <rPr>
        <sz val="10"/>
        <rFont val="Calibri"/>
        <family val="2"/>
      </rPr>
      <t xml:space="preserve"> with respect to F</t>
    </r>
    <r>
      <rPr>
        <vertAlign val="subscript"/>
        <sz val="10"/>
        <rFont val="Calibri"/>
        <family val="2"/>
      </rPr>
      <t>D</t>
    </r>
  </si>
  <si>
    <r>
      <t>ək</t>
    </r>
    <r>
      <rPr>
        <vertAlign val="subscript"/>
        <sz val="10"/>
        <rFont val="Calibri"/>
        <family val="2"/>
      </rPr>
      <t>B2</t>
    </r>
    <r>
      <rPr>
        <sz val="10"/>
        <rFont val="Calibri"/>
        <family val="2"/>
      </rPr>
      <t>/əW</t>
    </r>
    <r>
      <rPr>
        <vertAlign val="subscript"/>
        <sz val="10"/>
        <rFont val="Calibri"/>
        <family val="2"/>
      </rPr>
      <t>B</t>
    </r>
    <r>
      <rPr>
        <sz val="10"/>
        <rFont val="Calibri"/>
        <family val="2"/>
      </rPr>
      <t xml:space="preserve"> = W</t>
    </r>
    <r>
      <rPr>
        <vertAlign val="subscript"/>
        <sz val="10"/>
        <rFont val="Calibri"/>
        <family val="2"/>
      </rPr>
      <t>B</t>
    </r>
    <r>
      <rPr>
        <vertAlign val="superscript"/>
        <sz val="10"/>
        <rFont val="Calibri"/>
        <family val="2"/>
      </rPr>
      <t>C3-1</t>
    </r>
    <r>
      <rPr>
        <sz val="10"/>
        <rFont val="Calibri"/>
        <family val="2"/>
      </rPr>
      <t>·C</t>
    </r>
    <r>
      <rPr>
        <vertAlign val="subscript"/>
        <sz val="10"/>
        <rFont val="Calibri"/>
        <family val="2"/>
      </rPr>
      <t>3</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sz val="10"/>
        <rFont val="Calibri"/>
        <family val="2"/>
      </rPr>
      <t>·K</t>
    </r>
    <r>
      <rPr>
        <vertAlign val="subscript"/>
        <sz val="10"/>
        <rFont val="Calibri"/>
        <family val="2"/>
      </rPr>
      <t>BW</t>
    </r>
    <r>
      <rPr>
        <sz val="10"/>
        <rFont val="Calibri"/>
        <family val="2"/>
      </rPr>
      <t>]</t>
    </r>
  </si>
  <si>
    <r>
      <t>Partial derivative of k</t>
    </r>
    <r>
      <rPr>
        <vertAlign val="subscript"/>
        <sz val="10"/>
        <rFont val="Calibri"/>
        <family val="2"/>
      </rPr>
      <t>B2</t>
    </r>
    <r>
      <rPr>
        <sz val="10"/>
        <rFont val="Calibri"/>
        <family val="2"/>
      </rPr>
      <t xml:space="preserve"> with respect to W</t>
    </r>
    <r>
      <rPr>
        <vertAlign val="subscript"/>
        <sz val="10"/>
        <rFont val="Calibri"/>
        <family val="2"/>
      </rPr>
      <t>B</t>
    </r>
  </si>
  <si>
    <r>
      <t>ək</t>
    </r>
    <r>
      <rPr>
        <vertAlign val="subscript"/>
        <sz val="10"/>
        <rFont val="Calibri"/>
        <family val="2"/>
      </rPr>
      <t>B2</t>
    </r>
    <r>
      <rPr>
        <sz val="10"/>
        <rFont val="Calibri"/>
        <family val="2"/>
      </rPr>
      <t>/əW</t>
    </r>
    <r>
      <rPr>
        <vertAlign val="subscript"/>
        <sz val="10"/>
        <rFont val="Calibri"/>
        <family val="2"/>
      </rPr>
      <t>B</t>
    </r>
  </si>
  <si>
    <r>
      <t>Partial derivative of k</t>
    </r>
    <r>
      <rPr>
        <vertAlign val="subscript"/>
        <sz val="10"/>
        <rFont val="Calibri"/>
        <family val="2"/>
      </rPr>
      <t>B2</t>
    </r>
    <r>
      <rPr>
        <sz val="10"/>
        <rFont val="Calibri"/>
        <family val="2"/>
      </rPr>
      <t xml:space="preserve"> with respect to C</t>
    </r>
    <r>
      <rPr>
        <vertAlign val="subscript"/>
        <sz val="10"/>
        <rFont val="Calibri"/>
        <family val="2"/>
      </rPr>
      <t>1</t>
    </r>
  </si>
  <si>
    <r>
      <t>Partial derivative of k</t>
    </r>
    <r>
      <rPr>
        <vertAlign val="subscript"/>
        <sz val="10"/>
        <rFont val="Calibri"/>
        <family val="2"/>
      </rPr>
      <t>B2</t>
    </r>
    <r>
      <rPr>
        <sz val="10"/>
        <rFont val="Calibri"/>
        <family val="2"/>
      </rPr>
      <t xml:space="preserve"> with respect to C</t>
    </r>
    <r>
      <rPr>
        <vertAlign val="subscript"/>
        <sz val="10"/>
        <rFont val="Calibri"/>
        <family val="2"/>
      </rPr>
      <t>2</t>
    </r>
  </si>
  <si>
    <r>
      <t>Partial derivative of k</t>
    </r>
    <r>
      <rPr>
        <vertAlign val="subscript"/>
        <sz val="10"/>
        <rFont val="Calibri"/>
        <family val="2"/>
      </rPr>
      <t>B2</t>
    </r>
    <r>
      <rPr>
        <sz val="10"/>
        <rFont val="Calibri"/>
        <family val="2"/>
      </rPr>
      <t xml:space="preserve"> with respect to C</t>
    </r>
    <r>
      <rPr>
        <vertAlign val="subscript"/>
        <sz val="10"/>
        <rFont val="Calibri"/>
        <family val="2"/>
      </rPr>
      <t>3</t>
    </r>
  </si>
  <si>
    <r>
      <t>Partial derivative of k</t>
    </r>
    <r>
      <rPr>
        <vertAlign val="subscript"/>
        <sz val="10"/>
        <rFont val="Calibri"/>
        <family val="2"/>
      </rPr>
      <t>B2</t>
    </r>
    <r>
      <rPr>
        <sz val="10"/>
        <rFont val="Calibri"/>
        <family val="2"/>
      </rPr>
      <t xml:space="preserve"> with respect to C</t>
    </r>
    <r>
      <rPr>
        <vertAlign val="subscript"/>
        <sz val="10"/>
        <rFont val="Calibri"/>
        <family val="2"/>
      </rPr>
      <t>4</t>
    </r>
  </si>
  <si>
    <r>
      <t>ək</t>
    </r>
    <r>
      <rPr>
        <vertAlign val="subscript"/>
        <sz val="10"/>
        <rFont val="Calibri"/>
        <family val="2"/>
      </rPr>
      <t>B2</t>
    </r>
    <r>
      <rPr>
        <sz val="10"/>
        <rFont val="Calibri"/>
        <family val="2"/>
      </rPr>
      <t>/əC</t>
    </r>
    <r>
      <rPr>
        <vertAlign val="subscript"/>
        <sz val="10"/>
        <rFont val="Calibri"/>
        <family val="2"/>
      </rPr>
      <t>1</t>
    </r>
  </si>
  <si>
    <r>
      <t>ək</t>
    </r>
    <r>
      <rPr>
        <vertAlign val="subscript"/>
        <sz val="10"/>
        <rFont val="Calibri"/>
        <family val="2"/>
      </rPr>
      <t>B2</t>
    </r>
    <r>
      <rPr>
        <sz val="10"/>
        <rFont val="Calibri"/>
        <family val="2"/>
      </rPr>
      <t>/əC</t>
    </r>
    <r>
      <rPr>
        <vertAlign val="subscript"/>
        <sz val="10"/>
        <rFont val="Calibri"/>
        <family val="2"/>
      </rPr>
      <t>2</t>
    </r>
  </si>
  <si>
    <r>
      <t>ək</t>
    </r>
    <r>
      <rPr>
        <vertAlign val="subscript"/>
        <sz val="10"/>
        <rFont val="Calibri"/>
        <family val="2"/>
      </rPr>
      <t>B2</t>
    </r>
    <r>
      <rPr>
        <sz val="10"/>
        <rFont val="Calibri"/>
        <family val="2"/>
      </rPr>
      <t>/əC</t>
    </r>
    <r>
      <rPr>
        <vertAlign val="subscript"/>
        <sz val="10"/>
        <rFont val="Calibri"/>
        <family val="2"/>
      </rPr>
      <t>3</t>
    </r>
  </si>
  <si>
    <r>
      <t>ək</t>
    </r>
    <r>
      <rPr>
        <vertAlign val="subscript"/>
        <sz val="10"/>
        <rFont val="Calibri"/>
        <family val="2"/>
      </rPr>
      <t>B2</t>
    </r>
    <r>
      <rPr>
        <sz val="10"/>
        <rFont val="Calibri"/>
        <family val="2"/>
      </rPr>
      <t>/əC</t>
    </r>
    <r>
      <rPr>
        <vertAlign val="subscript"/>
        <sz val="10"/>
        <rFont val="Calibri"/>
        <family val="2"/>
      </rPr>
      <t>4</t>
    </r>
  </si>
  <si>
    <r>
      <t>ək</t>
    </r>
    <r>
      <rPr>
        <vertAlign val="subscript"/>
        <sz val="10"/>
        <rFont val="Calibri"/>
        <family val="2"/>
      </rPr>
      <t>B2</t>
    </r>
    <r>
      <rPr>
        <sz val="10"/>
        <rFont val="Calibri"/>
        <family val="2"/>
      </rPr>
      <t>/əC</t>
    </r>
    <r>
      <rPr>
        <vertAlign val="subscript"/>
        <sz val="10"/>
        <rFont val="Calibri"/>
        <family val="2"/>
      </rPr>
      <t>1</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t>
    </r>
    <r>
      <rPr>
        <vertAlign val="superscript"/>
        <sz val="10"/>
        <rFont val="Calibri"/>
        <family val="2"/>
      </rPr>
      <t>2</t>
    </r>
    <r>
      <rPr>
        <sz val="10"/>
        <rFont val="Calibri"/>
        <family val="2"/>
      </rPr>
      <t>·C</t>
    </r>
    <r>
      <rPr>
        <vertAlign val="subscript"/>
        <sz val="10"/>
        <rFont val="Calibri"/>
        <family val="2"/>
      </rPr>
      <t>OX</t>
    </r>
    <r>
      <rPr>
        <sz val="10"/>
        <rFont val="Calibri"/>
        <family val="2"/>
      </rPr>
      <t>·K</t>
    </r>
    <r>
      <rPr>
        <vertAlign val="subscript"/>
        <sz val="10"/>
        <rFont val="Calibri"/>
        <family val="2"/>
      </rPr>
      <t>BW</t>
    </r>
    <r>
      <rPr>
        <sz val="10"/>
        <rFont val="Calibri"/>
        <family val="2"/>
      </rPr>
      <t>]</t>
    </r>
  </si>
  <si>
    <r>
      <t>ək</t>
    </r>
    <r>
      <rPr>
        <vertAlign val="subscript"/>
        <sz val="10"/>
        <rFont val="Calibri"/>
        <family val="2"/>
      </rPr>
      <t>B2</t>
    </r>
    <r>
      <rPr>
        <sz val="10"/>
        <rFont val="Calibri"/>
        <family val="2"/>
      </rPr>
      <t>/əC</t>
    </r>
    <r>
      <rPr>
        <vertAlign val="subscript"/>
        <sz val="10"/>
        <rFont val="Calibri"/>
        <family val="2"/>
      </rPr>
      <t>2</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t>
    </r>
    <r>
      <rPr>
        <vertAlign val="super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sz val="10"/>
        <rFont val="Calibri"/>
        <family val="2"/>
      </rPr>
      <t>·K</t>
    </r>
    <r>
      <rPr>
        <vertAlign val="subscript"/>
        <sz val="10"/>
        <rFont val="Calibri"/>
        <family val="2"/>
      </rPr>
      <t>BW</t>
    </r>
    <r>
      <rPr>
        <sz val="10"/>
        <rFont val="Calibri"/>
        <family val="2"/>
      </rPr>
      <t>]</t>
    </r>
  </si>
  <si>
    <r>
      <t>ək</t>
    </r>
    <r>
      <rPr>
        <vertAlign val="subscript"/>
        <sz val="10"/>
        <rFont val="Calibri"/>
        <family val="2"/>
      </rPr>
      <t>B2</t>
    </r>
    <r>
      <rPr>
        <sz val="10"/>
        <rFont val="Calibri"/>
        <family val="2"/>
      </rPr>
      <t>/əC</t>
    </r>
    <r>
      <rPr>
        <vertAlign val="subscript"/>
        <sz val="10"/>
        <rFont val="Calibri"/>
        <family val="2"/>
      </rPr>
      <t>3</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·ln(W</t>
    </r>
    <r>
      <rPr>
        <vertAlign val="subscript"/>
        <sz val="10"/>
        <rFont val="Calibri"/>
        <family val="2"/>
      </rPr>
      <t>B</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sz val="10"/>
        <rFont val="Calibri"/>
        <family val="2"/>
      </rPr>
      <t>·K</t>
    </r>
    <r>
      <rPr>
        <vertAlign val="subscript"/>
        <sz val="10"/>
        <rFont val="Calibri"/>
        <family val="2"/>
      </rPr>
      <t>BW</t>
    </r>
    <r>
      <rPr>
        <sz val="10"/>
        <rFont val="Calibri"/>
        <family val="2"/>
      </rPr>
      <t>]</t>
    </r>
  </si>
  <si>
    <r>
      <t>ək</t>
    </r>
    <r>
      <rPr>
        <vertAlign val="subscript"/>
        <sz val="10"/>
        <rFont val="Calibri"/>
        <family val="2"/>
      </rPr>
      <t>B2</t>
    </r>
    <r>
      <rPr>
        <sz val="10"/>
        <rFont val="Calibri"/>
        <family val="2"/>
      </rPr>
      <t>/əC</t>
    </r>
    <r>
      <rPr>
        <vertAlign val="subscript"/>
        <sz val="10"/>
        <rFont val="Calibri"/>
        <family val="2"/>
      </rPr>
      <t>4</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·10</t>
    </r>
    <r>
      <rPr>
        <vertAlign val="superscript"/>
        <sz val="10"/>
        <rFont val="Calibri"/>
        <family val="2"/>
      </rPr>
      <t>C4</t>
    </r>
    <r>
      <rPr>
        <sz val="10"/>
        <rFont val="Calibri"/>
        <family val="2"/>
      </rPr>
      <t>·ln(10)/[(C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sz val="10"/>
        <rFont val="Calibri"/>
        <family val="2"/>
      </rPr>
      <t>·K</t>
    </r>
    <r>
      <rPr>
        <vertAlign val="subscript"/>
        <sz val="10"/>
        <rFont val="Calibri"/>
        <family val="2"/>
      </rPr>
      <t>BW</t>
    </r>
    <r>
      <rPr>
        <sz val="10"/>
        <rFont val="Calibri"/>
        <family val="2"/>
      </rPr>
      <t>]</t>
    </r>
  </si>
  <si>
    <r>
      <t>G</t>
    </r>
    <r>
      <rPr>
        <vertAlign val="subscript"/>
        <sz val="10"/>
        <rFont val="Calibri"/>
        <family val="2"/>
      </rPr>
      <t>V</t>
    </r>
    <r>
      <rPr>
        <sz val="10"/>
        <rFont val="Calibri"/>
        <family val="2"/>
      </rPr>
      <t xml:space="preserve"> = 1878·W</t>
    </r>
    <r>
      <rPr>
        <vertAlign val="subscript"/>
        <sz val="10"/>
        <rFont val="Calibri"/>
        <family val="2"/>
      </rPr>
      <t>B</t>
    </r>
    <r>
      <rPr>
        <vertAlign val="superscript"/>
        <sz val="10"/>
        <rFont val="Calibri"/>
        <family val="2"/>
      </rPr>
      <t>0.737</t>
    </r>
    <r>
      <rPr>
        <sz val="10"/>
        <rFont val="Calibri"/>
        <family val="2"/>
      </rPr>
      <t>/C</t>
    </r>
    <r>
      <rPr>
        <vertAlign val="subscript"/>
        <sz val="10"/>
        <rFont val="Calibri"/>
        <family val="2"/>
      </rPr>
      <t>OX</t>
    </r>
  </si>
  <si>
    <r>
      <t>ək</t>
    </r>
    <r>
      <rPr>
        <vertAlign val="subscript"/>
        <sz val="10"/>
        <rFont val="Calibri"/>
        <family val="2"/>
      </rPr>
      <t>BG</t>
    </r>
    <r>
      <rPr>
        <sz val="10"/>
        <rFont val="Calibri"/>
        <family val="2"/>
      </rPr>
      <t>/əF</t>
    </r>
    <r>
      <rPr>
        <vertAlign val="subscript"/>
        <sz val="10"/>
        <rFont val="Calibri"/>
        <family val="2"/>
      </rPr>
      <t>D</t>
    </r>
  </si>
  <si>
    <r>
      <t>Partial derivative of k</t>
    </r>
    <r>
      <rPr>
        <vertAlign val="subscript"/>
        <sz val="10"/>
        <rFont val="Calibri"/>
        <family val="2"/>
      </rPr>
      <t>B2</t>
    </r>
    <r>
      <rPr>
        <sz val="10"/>
        <rFont val="Calibri"/>
        <family val="2"/>
      </rPr>
      <t xml:space="preserve"> with respect to C</t>
    </r>
    <r>
      <rPr>
        <vertAlign val="subscript"/>
        <sz val="10"/>
        <rFont val="Calibri"/>
        <family val="2"/>
      </rPr>
      <t>OX</t>
    </r>
  </si>
  <si>
    <r>
      <t>ək</t>
    </r>
    <r>
      <rPr>
        <vertAlign val="subscript"/>
        <sz val="10"/>
        <rFont val="Calibri"/>
        <family val="2"/>
      </rPr>
      <t>B2</t>
    </r>
    <r>
      <rPr>
        <sz val="10"/>
        <rFont val="Calibri"/>
        <family val="2"/>
      </rPr>
      <t>/əC</t>
    </r>
    <r>
      <rPr>
        <vertAlign val="subscript"/>
        <sz val="10"/>
        <rFont val="Calibri"/>
        <family val="2"/>
      </rPr>
      <t>OX</t>
    </r>
  </si>
  <si>
    <r>
      <t>ək</t>
    </r>
    <r>
      <rPr>
        <vertAlign val="subscript"/>
        <sz val="10"/>
        <rFont val="Calibri"/>
        <family val="2"/>
      </rPr>
      <t>B2</t>
    </r>
    <r>
      <rPr>
        <sz val="10"/>
        <rFont val="Calibri"/>
        <family val="2"/>
      </rPr>
      <t>/əC</t>
    </r>
    <r>
      <rPr>
        <vertAlign val="subscript"/>
        <sz val="10"/>
        <rFont val="Calibri"/>
        <family val="2"/>
      </rPr>
      <t>OX</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vertAlign val="superscript"/>
        <sz val="10"/>
        <rFont val="Calibri"/>
        <family val="2"/>
      </rPr>
      <t>2</t>
    </r>
    <r>
      <rPr>
        <sz val="10"/>
        <rFont val="Calibri"/>
        <family val="2"/>
      </rPr>
      <t>·K</t>
    </r>
    <r>
      <rPr>
        <vertAlign val="subscript"/>
        <sz val="10"/>
        <rFont val="Calibri"/>
        <family val="2"/>
      </rPr>
      <t>BW</t>
    </r>
    <r>
      <rPr>
        <sz val="10"/>
        <rFont val="Calibri"/>
        <family val="2"/>
      </rPr>
      <t>]</t>
    </r>
  </si>
  <si>
    <r>
      <t>ək</t>
    </r>
    <r>
      <rPr>
        <vertAlign val="subscript"/>
        <sz val="10"/>
        <rFont val="Calibri"/>
        <family val="2"/>
      </rPr>
      <t>BT,R</t>
    </r>
    <r>
      <rPr>
        <sz val="10"/>
        <rFont val="Calibri"/>
        <family val="2"/>
      </rPr>
      <t>/əW</t>
    </r>
    <r>
      <rPr>
        <vertAlign val="subscript"/>
        <sz val="10"/>
        <rFont val="Calibri"/>
        <family val="2"/>
      </rPr>
      <t>B</t>
    </r>
    <r>
      <rPr>
        <sz val="10"/>
        <rFont val="Calibri"/>
        <family val="2"/>
      </rPr>
      <t xml:space="preserve"> = W</t>
    </r>
    <r>
      <rPr>
        <vertAlign val="subscript"/>
        <sz val="10"/>
        <rFont val="Calibri"/>
        <family val="2"/>
      </rPr>
      <t>B</t>
    </r>
    <r>
      <rPr>
        <vertAlign val="superscript"/>
        <sz val="10"/>
        <rFont val="Calibri"/>
        <family val="2"/>
      </rPr>
      <t>C3-1</t>
    </r>
    <r>
      <rPr>
        <sz val="10"/>
        <rFont val="Calibri"/>
        <family val="2"/>
      </rPr>
      <t>·C</t>
    </r>
    <r>
      <rPr>
        <vertAlign val="subscript"/>
        <sz val="10"/>
        <rFont val="Calibri"/>
        <family val="2"/>
      </rPr>
      <t>3</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sz val="10"/>
        <rFont val="Calibri"/>
        <family val="2"/>
      </rPr>
      <t>·K</t>
    </r>
    <r>
      <rPr>
        <vertAlign val="subscript"/>
        <sz val="10"/>
        <rFont val="Calibri"/>
        <family val="2"/>
      </rPr>
      <t>BW</t>
    </r>
    <r>
      <rPr>
        <sz val="10"/>
        <rFont val="Calibri"/>
        <family val="2"/>
      </rPr>
      <t>]</t>
    </r>
  </si>
  <si>
    <r>
      <t>Partial derivative of k</t>
    </r>
    <r>
      <rPr>
        <vertAlign val="subscript"/>
        <sz val="10"/>
        <rFont val="Calibri"/>
        <family val="2"/>
      </rPr>
      <t>BT,R</t>
    </r>
    <r>
      <rPr>
        <sz val="10"/>
        <rFont val="Calibri"/>
        <family val="2"/>
      </rPr>
      <t xml:space="preserve"> with respect to C</t>
    </r>
    <r>
      <rPr>
        <vertAlign val="subscript"/>
        <sz val="10"/>
        <rFont val="Calibri"/>
        <family val="2"/>
      </rPr>
      <t>D</t>
    </r>
  </si>
  <si>
    <r>
      <t>ək</t>
    </r>
    <r>
      <rPr>
        <vertAlign val="subscript"/>
        <sz val="10"/>
        <rFont val="Calibri"/>
        <family val="2"/>
      </rPr>
      <t>BT,R</t>
    </r>
    <r>
      <rPr>
        <sz val="10"/>
        <rFont val="Calibri"/>
        <family val="2"/>
      </rPr>
      <t>/əC</t>
    </r>
    <r>
      <rPr>
        <vertAlign val="subscript"/>
        <sz val="10"/>
        <rFont val="Calibri"/>
        <family val="2"/>
      </rPr>
      <t>D</t>
    </r>
  </si>
  <si>
    <r>
      <t>Partial derivative of k</t>
    </r>
    <r>
      <rPr>
        <vertAlign val="subscript"/>
        <sz val="10"/>
        <rFont val="Calibri"/>
        <family val="2"/>
      </rPr>
      <t>BT,R</t>
    </r>
    <r>
      <rPr>
        <sz val="10"/>
        <rFont val="Calibri"/>
        <family val="2"/>
      </rPr>
      <t xml:space="preserve"> with respect to F</t>
    </r>
    <r>
      <rPr>
        <vertAlign val="subscript"/>
        <sz val="10"/>
        <rFont val="Calibri"/>
        <family val="2"/>
      </rPr>
      <t>D</t>
    </r>
  </si>
  <si>
    <r>
      <t>ək</t>
    </r>
    <r>
      <rPr>
        <vertAlign val="subscript"/>
        <sz val="10"/>
        <rFont val="Calibri"/>
        <family val="2"/>
      </rPr>
      <t>BT,R</t>
    </r>
    <r>
      <rPr>
        <sz val="10"/>
        <rFont val="Calibri"/>
        <family val="2"/>
      </rPr>
      <t>/əF</t>
    </r>
    <r>
      <rPr>
        <vertAlign val="subscript"/>
        <sz val="10"/>
        <rFont val="Calibri"/>
        <family val="2"/>
      </rPr>
      <t>D</t>
    </r>
  </si>
  <si>
    <r>
      <t>Partial derivative of k</t>
    </r>
    <r>
      <rPr>
        <vertAlign val="subscript"/>
        <sz val="10"/>
        <rFont val="Calibri"/>
        <family val="2"/>
      </rPr>
      <t>BT,R</t>
    </r>
    <r>
      <rPr>
        <sz val="10"/>
        <rFont val="Calibri"/>
        <family val="2"/>
      </rPr>
      <t xml:space="preserve"> with respect to C</t>
    </r>
    <r>
      <rPr>
        <vertAlign val="subscript"/>
        <sz val="10"/>
        <rFont val="Calibri"/>
        <family val="2"/>
      </rPr>
      <t>OX</t>
    </r>
  </si>
  <si>
    <r>
      <t>ək</t>
    </r>
    <r>
      <rPr>
        <vertAlign val="subscript"/>
        <sz val="10"/>
        <rFont val="Calibri"/>
        <family val="2"/>
      </rPr>
      <t>BT,R</t>
    </r>
    <r>
      <rPr>
        <sz val="10"/>
        <rFont val="Calibri"/>
        <family val="2"/>
      </rPr>
      <t>/əC</t>
    </r>
    <r>
      <rPr>
        <vertAlign val="subscript"/>
        <sz val="10"/>
        <rFont val="Calibri"/>
        <family val="2"/>
      </rPr>
      <t>OX</t>
    </r>
  </si>
  <si>
    <r>
      <t>ək</t>
    </r>
    <r>
      <rPr>
        <vertAlign val="subscript"/>
        <sz val="10"/>
        <rFont val="Calibri"/>
        <family val="2"/>
      </rPr>
      <t>BT,R</t>
    </r>
    <r>
      <rPr>
        <sz val="10"/>
        <rFont val="Calibri"/>
        <family val="2"/>
      </rPr>
      <t>/əC</t>
    </r>
    <r>
      <rPr>
        <vertAlign val="subscript"/>
        <sz val="10"/>
        <rFont val="Calibri"/>
        <family val="2"/>
      </rPr>
      <t>OX</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vertAlign val="superscript"/>
        <sz val="10"/>
        <rFont val="Calibri"/>
        <family val="2"/>
      </rPr>
      <t>2</t>
    </r>
    <r>
      <rPr>
        <sz val="10"/>
        <rFont val="Calibri"/>
        <family val="2"/>
      </rPr>
      <t>·K</t>
    </r>
    <r>
      <rPr>
        <vertAlign val="subscript"/>
        <sz val="10"/>
        <rFont val="Calibri"/>
        <family val="2"/>
      </rPr>
      <t>BW</t>
    </r>
    <r>
      <rPr>
        <sz val="10"/>
        <rFont val="Calibri"/>
        <family val="2"/>
      </rPr>
      <t>]</t>
    </r>
  </si>
  <si>
    <r>
      <t>Partial derivative of k</t>
    </r>
    <r>
      <rPr>
        <vertAlign val="subscript"/>
        <sz val="10"/>
        <rFont val="Calibri"/>
        <family val="2"/>
      </rPr>
      <t>BT,R</t>
    </r>
    <r>
      <rPr>
        <sz val="10"/>
        <rFont val="Calibri"/>
        <family val="2"/>
      </rPr>
      <t xml:space="preserve"> with respect to b</t>
    </r>
    <r>
      <rPr>
        <vertAlign val="subscript"/>
        <sz val="10"/>
        <rFont val="Calibri"/>
        <family val="2"/>
      </rPr>
      <t>0</t>
    </r>
  </si>
  <si>
    <r>
      <t>ək</t>
    </r>
    <r>
      <rPr>
        <vertAlign val="subscript"/>
        <sz val="10"/>
        <rFont val="Calibri"/>
        <family val="2"/>
      </rPr>
      <t>BT,R</t>
    </r>
    <r>
      <rPr>
        <sz val="10"/>
        <rFont val="Calibri"/>
        <family val="2"/>
      </rPr>
      <t>/əb</t>
    </r>
    <r>
      <rPr>
        <vertAlign val="subscript"/>
        <sz val="10"/>
        <rFont val="Calibri"/>
        <family val="2"/>
      </rPr>
      <t>0</t>
    </r>
  </si>
  <si>
    <r>
      <t>Partial derivative of k</t>
    </r>
    <r>
      <rPr>
        <vertAlign val="subscript"/>
        <sz val="10"/>
        <rFont val="Calibri"/>
        <family val="2"/>
      </rPr>
      <t>BT,R</t>
    </r>
    <r>
      <rPr>
        <sz val="10"/>
        <rFont val="Calibri"/>
        <family val="2"/>
      </rPr>
      <t xml:space="preserve"> with respect to b</t>
    </r>
    <r>
      <rPr>
        <vertAlign val="subscript"/>
        <sz val="10"/>
        <rFont val="Calibri"/>
        <family val="2"/>
      </rPr>
      <t>1</t>
    </r>
  </si>
  <si>
    <r>
      <t>ək</t>
    </r>
    <r>
      <rPr>
        <vertAlign val="subscript"/>
        <sz val="10"/>
        <rFont val="Calibri"/>
        <family val="2"/>
      </rPr>
      <t>BT,R</t>
    </r>
    <r>
      <rPr>
        <sz val="10"/>
        <rFont val="Calibri"/>
        <family val="2"/>
      </rPr>
      <t>/əb</t>
    </r>
    <r>
      <rPr>
        <vertAlign val="subscript"/>
        <sz val="10"/>
        <rFont val="Calibri"/>
        <family val="2"/>
      </rPr>
      <t>1</t>
    </r>
  </si>
  <si>
    <r>
      <t>SE(k</t>
    </r>
    <r>
      <rPr>
        <vertAlign val="subscript"/>
        <sz val="10"/>
        <rFont val="Calibri"/>
        <family val="2"/>
      </rPr>
      <t>BT,R</t>
    </r>
    <r>
      <rPr>
        <sz val="10"/>
        <rFont val="Calibri"/>
        <family val="2"/>
      </rPr>
      <t>)</t>
    </r>
  </si>
  <si>
    <r>
      <t>SE(k</t>
    </r>
    <r>
      <rPr>
        <vertAlign val="subscript"/>
        <sz val="10"/>
        <rFont val="Calibri"/>
        <family val="2"/>
      </rPr>
      <t>B2</t>
    </r>
    <r>
      <rPr>
        <sz val="10"/>
        <rFont val="Calibri"/>
        <family val="2"/>
      </rPr>
      <t>)</t>
    </r>
  </si>
  <si>
    <r>
      <t>Standard error of k</t>
    </r>
    <r>
      <rPr>
        <vertAlign val="subscript"/>
        <sz val="10"/>
        <rFont val="Calibri"/>
        <family val="2"/>
      </rPr>
      <t>BG</t>
    </r>
  </si>
  <si>
    <r>
      <t>SE(k</t>
    </r>
    <r>
      <rPr>
        <vertAlign val="subscript"/>
        <sz val="10"/>
        <rFont val="Calibri"/>
        <family val="2"/>
      </rPr>
      <t>BG</t>
    </r>
    <r>
      <rPr>
        <sz val="10"/>
        <rFont val="Calibri"/>
        <family val="2"/>
      </rPr>
      <t>)</t>
    </r>
  </si>
  <si>
    <r>
      <t>Standard error of k</t>
    </r>
    <r>
      <rPr>
        <vertAlign val="subscript"/>
        <sz val="10"/>
        <rFont val="Calibri"/>
        <family val="2"/>
      </rPr>
      <t>BM</t>
    </r>
  </si>
  <si>
    <r>
      <t>SE(k</t>
    </r>
    <r>
      <rPr>
        <vertAlign val="subscript"/>
        <sz val="10"/>
        <rFont val="Calibri"/>
        <family val="2"/>
      </rPr>
      <t>BM</t>
    </r>
    <r>
      <rPr>
        <sz val="10"/>
        <rFont val="Calibri"/>
        <family val="2"/>
      </rPr>
      <t>)</t>
    </r>
  </si>
  <si>
    <r>
      <t>Standard error of k</t>
    </r>
    <r>
      <rPr>
        <vertAlign val="subscript"/>
        <sz val="10"/>
        <rFont val="Calibri"/>
        <family val="2"/>
      </rPr>
      <t>GB</t>
    </r>
  </si>
  <si>
    <r>
      <t>SE(k</t>
    </r>
    <r>
      <rPr>
        <vertAlign val="subscript"/>
        <sz val="10"/>
        <rFont val="Calibri"/>
        <family val="2"/>
      </rPr>
      <t>GB</t>
    </r>
    <r>
      <rPr>
        <sz val="10"/>
        <rFont val="Calibri"/>
        <family val="2"/>
      </rPr>
      <t>)</t>
    </r>
  </si>
  <si>
    <r>
      <t>Coefficient C</t>
    </r>
    <r>
      <rPr>
        <vertAlign val="subscript"/>
        <sz val="10"/>
        <rFont val="Calibri"/>
        <family val="2"/>
      </rPr>
      <t>4</t>
    </r>
  </si>
  <si>
    <r>
      <t>Standard error of C</t>
    </r>
    <r>
      <rPr>
        <vertAlign val="subscript"/>
        <sz val="10"/>
        <rFont val="Calibri"/>
        <family val="2"/>
      </rPr>
      <t>3</t>
    </r>
  </si>
  <si>
    <t>Default value obtained from Lo et al. 2015</t>
  </si>
  <si>
    <r>
      <t>SE(k</t>
    </r>
    <r>
      <rPr>
        <vertAlign val="subscript"/>
        <sz val="10"/>
        <rFont val="Calibri"/>
        <family val="2"/>
      </rPr>
      <t>D</t>
    </r>
    <r>
      <rPr>
        <sz val="10"/>
        <rFont val="Calibri"/>
        <family val="2"/>
      </rPr>
      <t>) = {[(ək</t>
    </r>
    <r>
      <rPr>
        <vertAlign val="subscript"/>
        <sz val="10"/>
        <rFont val="Calibri"/>
        <family val="2"/>
      </rPr>
      <t>D</t>
    </r>
    <r>
      <rPr>
        <sz val="10"/>
        <rFont val="Calibri"/>
        <family val="2"/>
      </rPr>
      <t>/əC</t>
    </r>
    <r>
      <rPr>
        <vertAlign val="subscript"/>
        <sz val="10"/>
        <rFont val="Calibri"/>
        <family val="2"/>
      </rPr>
      <t>D</t>
    </r>
    <r>
      <rPr>
        <sz val="10"/>
        <rFont val="Calibri"/>
        <family val="2"/>
      </rPr>
      <t>)·SE(C</t>
    </r>
    <r>
      <rPr>
        <vertAlign val="subscript"/>
        <sz val="10"/>
        <rFont val="Calibri"/>
        <family val="2"/>
      </rPr>
      <t>D</t>
    </r>
    <r>
      <rPr>
        <sz val="10"/>
        <rFont val="Calibri"/>
        <family val="2"/>
      </rPr>
      <t>)]</t>
    </r>
    <r>
      <rPr>
        <vertAlign val="superscript"/>
        <sz val="10"/>
        <rFont val="Calibri"/>
        <family val="2"/>
      </rPr>
      <t>2</t>
    </r>
    <r>
      <rPr>
        <sz val="10"/>
        <rFont val="Calibri"/>
        <family val="2"/>
      </rPr>
      <t>+[(ək</t>
    </r>
    <r>
      <rPr>
        <vertAlign val="subscript"/>
        <sz val="10"/>
        <rFont val="Calibri"/>
        <family val="2"/>
      </rPr>
      <t>D</t>
    </r>
    <r>
      <rPr>
        <sz val="10"/>
        <rFont val="Calibri"/>
        <family val="2"/>
      </rPr>
      <t>/əb</t>
    </r>
    <r>
      <rPr>
        <vertAlign val="subscript"/>
        <sz val="10"/>
        <rFont val="Calibri"/>
        <family val="2"/>
      </rPr>
      <t>0</t>
    </r>
    <r>
      <rPr>
        <sz val="10"/>
        <rFont val="Calibri"/>
        <family val="2"/>
      </rPr>
      <t>)·SE(b</t>
    </r>
    <r>
      <rPr>
        <vertAlign val="subscript"/>
        <sz val="10"/>
        <rFont val="Calibri"/>
        <family val="2"/>
      </rPr>
      <t>0</t>
    </r>
    <r>
      <rPr>
        <sz val="10"/>
        <rFont val="Calibri"/>
        <family val="2"/>
      </rPr>
      <t>)]</t>
    </r>
    <r>
      <rPr>
        <vertAlign val="superscript"/>
        <sz val="10"/>
        <rFont val="Calibri"/>
        <family val="2"/>
      </rPr>
      <t>2</t>
    </r>
    <r>
      <rPr>
        <sz val="10"/>
        <rFont val="Calibri"/>
        <family val="2"/>
      </rPr>
      <t>+[(ək</t>
    </r>
    <r>
      <rPr>
        <vertAlign val="subscript"/>
        <sz val="10"/>
        <rFont val="Calibri"/>
        <family val="2"/>
      </rPr>
      <t>D</t>
    </r>
    <r>
      <rPr>
        <sz val="10"/>
        <rFont val="Calibri"/>
        <family val="2"/>
      </rPr>
      <t>/əb</t>
    </r>
    <r>
      <rPr>
        <vertAlign val="subscript"/>
        <sz val="10"/>
        <rFont val="Calibri"/>
        <family val="2"/>
      </rPr>
      <t>1</t>
    </r>
    <r>
      <rPr>
        <sz val="10"/>
        <rFont val="Calibri"/>
        <family val="2"/>
      </rPr>
      <t>)·SE(b</t>
    </r>
    <r>
      <rPr>
        <vertAlign val="subscript"/>
        <sz val="10"/>
        <rFont val="Calibri"/>
        <family val="2"/>
      </rPr>
      <t>1</t>
    </r>
    <r>
      <rPr>
        <sz val="10"/>
        <rFont val="Calibri"/>
        <family val="2"/>
      </rPr>
      <t>)]</t>
    </r>
    <r>
      <rPr>
        <vertAlign val="superscript"/>
        <sz val="10"/>
        <rFont val="Calibri"/>
        <family val="2"/>
      </rPr>
      <t>2</t>
    </r>
    <r>
      <rPr>
        <sz val="10"/>
        <rFont val="Calibri"/>
        <family val="2"/>
      </rPr>
      <t>+2·(ək</t>
    </r>
    <r>
      <rPr>
        <vertAlign val="subscript"/>
        <sz val="10"/>
        <rFont val="Calibri"/>
        <family val="2"/>
      </rPr>
      <t>D</t>
    </r>
    <r>
      <rPr>
        <sz val="10"/>
        <rFont val="Calibri"/>
        <family val="2"/>
      </rPr>
      <t>/əb</t>
    </r>
    <r>
      <rPr>
        <vertAlign val="subscript"/>
        <sz val="10"/>
        <rFont val="Calibri"/>
        <family val="2"/>
      </rPr>
      <t>0</t>
    </r>
    <r>
      <rPr>
        <sz val="10"/>
        <rFont val="Calibri"/>
        <family val="2"/>
      </rPr>
      <t>)·(ək</t>
    </r>
    <r>
      <rPr>
        <vertAlign val="subscript"/>
        <sz val="10"/>
        <rFont val="Calibri"/>
        <family val="2"/>
      </rPr>
      <t>D</t>
    </r>
    <r>
      <rPr>
        <sz val="10"/>
        <rFont val="Calibri"/>
        <family val="2"/>
      </rPr>
      <t>/əb</t>
    </r>
    <r>
      <rPr>
        <vertAlign val="subscript"/>
        <sz val="10"/>
        <rFont val="Calibri"/>
        <family val="2"/>
      </rPr>
      <t>1</t>
    </r>
    <r>
      <rPr>
        <sz val="10"/>
        <rFont val="Calibri"/>
        <family val="2"/>
      </rPr>
      <t>)·Cov(b</t>
    </r>
    <r>
      <rPr>
        <vertAlign val="subscript"/>
        <sz val="10"/>
        <rFont val="Calibri"/>
        <family val="2"/>
      </rPr>
      <t>0</t>
    </r>
    <r>
      <rPr>
        <sz val="10"/>
        <rFont val="Calibri"/>
        <family val="2"/>
      </rPr>
      <t>,b</t>
    </r>
    <r>
      <rPr>
        <vertAlign val="subscript"/>
        <sz val="10"/>
        <rFont val="Calibri"/>
        <family val="2"/>
      </rPr>
      <t>1</t>
    </r>
    <r>
      <rPr>
        <sz val="10"/>
        <rFont val="Calibri"/>
        <family val="2"/>
      </rPr>
      <t>)}</t>
    </r>
    <r>
      <rPr>
        <vertAlign val="superscript"/>
        <sz val="10"/>
        <rFont val="Calibri"/>
        <family val="2"/>
      </rPr>
      <t>0.5</t>
    </r>
  </si>
  <si>
    <r>
      <t>SE(BMF) = {[(əBMF/əC</t>
    </r>
    <r>
      <rPr>
        <vertAlign val="subscript"/>
        <sz val="10"/>
        <rFont val="Calibri"/>
        <family val="2"/>
      </rPr>
      <t>D</t>
    </r>
    <r>
      <rPr>
        <sz val="10"/>
        <rFont val="Calibri"/>
        <family val="2"/>
      </rPr>
      <t>)·SE(C</t>
    </r>
    <r>
      <rPr>
        <vertAlign val="subscript"/>
        <sz val="10"/>
        <rFont val="Calibri"/>
        <family val="2"/>
      </rPr>
      <t>D</t>
    </r>
    <r>
      <rPr>
        <sz val="10"/>
        <rFont val="Calibri"/>
        <family val="2"/>
      </rPr>
      <t>)]</t>
    </r>
    <r>
      <rPr>
        <vertAlign val="superscript"/>
        <sz val="10"/>
        <rFont val="Calibri"/>
        <family val="2"/>
      </rPr>
      <t>2</t>
    </r>
    <r>
      <rPr>
        <sz val="10"/>
        <rFont val="Calibri"/>
        <family val="2"/>
      </rPr>
      <t>+[(əBMF/əb</t>
    </r>
    <r>
      <rPr>
        <vertAlign val="subscript"/>
        <sz val="10"/>
        <rFont val="Calibri"/>
        <family val="2"/>
      </rPr>
      <t>0</t>
    </r>
    <r>
      <rPr>
        <sz val="10"/>
        <rFont val="Calibri"/>
        <family val="2"/>
      </rPr>
      <t>)·SE(b</t>
    </r>
    <r>
      <rPr>
        <vertAlign val="subscript"/>
        <sz val="10"/>
        <rFont val="Calibri"/>
        <family val="2"/>
      </rPr>
      <t>0</t>
    </r>
    <r>
      <rPr>
        <sz val="10"/>
        <rFont val="Calibri"/>
        <family val="2"/>
      </rPr>
      <t>)]</t>
    </r>
    <r>
      <rPr>
        <vertAlign val="superscript"/>
        <sz val="10"/>
        <rFont val="Calibri"/>
        <family val="2"/>
      </rPr>
      <t>2</t>
    </r>
    <r>
      <rPr>
        <sz val="10"/>
        <rFont val="Calibri"/>
        <family val="2"/>
      </rPr>
      <t>+[(əBMF/əb</t>
    </r>
    <r>
      <rPr>
        <vertAlign val="subscript"/>
        <sz val="10"/>
        <rFont val="Calibri"/>
        <family val="2"/>
      </rPr>
      <t>1</t>
    </r>
    <r>
      <rPr>
        <sz val="10"/>
        <rFont val="Calibri"/>
        <family val="2"/>
      </rPr>
      <t>)·SE(b</t>
    </r>
    <r>
      <rPr>
        <vertAlign val="subscript"/>
        <sz val="10"/>
        <rFont val="Calibri"/>
        <family val="2"/>
      </rPr>
      <t>1</t>
    </r>
    <r>
      <rPr>
        <sz val="10"/>
        <rFont val="Calibri"/>
        <family val="2"/>
      </rPr>
      <t>)]</t>
    </r>
    <r>
      <rPr>
        <vertAlign val="superscript"/>
        <sz val="10"/>
        <rFont val="Calibri"/>
        <family val="2"/>
      </rPr>
      <t>2</t>
    </r>
    <r>
      <rPr>
        <sz val="10"/>
        <rFont val="Calibri"/>
        <family val="2"/>
      </rPr>
      <t>+2·(əBMF/əb</t>
    </r>
    <r>
      <rPr>
        <vertAlign val="subscript"/>
        <sz val="10"/>
        <rFont val="Calibri"/>
        <family val="2"/>
      </rPr>
      <t>0</t>
    </r>
    <r>
      <rPr>
        <sz val="10"/>
        <rFont val="Calibri"/>
        <family val="2"/>
      </rPr>
      <t>)·(əBMF/əb</t>
    </r>
    <r>
      <rPr>
        <vertAlign val="subscript"/>
        <sz val="10"/>
        <rFont val="Calibri"/>
        <family val="2"/>
      </rPr>
      <t>1</t>
    </r>
    <r>
      <rPr>
        <sz val="10"/>
        <rFont val="Calibri"/>
        <family val="2"/>
      </rPr>
      <t>)·Cov(b</t>
    </r>
    <r>
      <rPr>
        <vertAlign val="subscript"/>
        <sz val="10"/>
        <rFont val="Calibri"/>
        <family val="2"/>
      </rPr>
      <t>0</t>
    </r>
    <r>
      <rPr>
        <sz val="10"/>
        <rFont val="Calibri"/>
        <family val="2"/>
      </rPr>
      <t>,b</t>
    </r>
    <r>
      <rPr>
        <vertAlign val="subscript"/>
        <sz val="10"/>
        <rFont val="Calibri"/>
        <family val="2"/>
      </rPr>
      <t>1</t>
    </r>
    <r>
      <rPr>
        <sz val="10"/>
        <rFont val="Calibri"/>
        <family val="2"/>
      </rPr>
      <t>)}</t>
    </r>
    <r>
      <rPr>
        <vertAlign val="superscript"/>
        <sz val="10"/>
        <rFont val="Calibri"/>
        <family val="2"/>
      </rPr>
      <t>0.5</t>
    </r>
  </si>
  <si>
    <r>
      <t>BAF</t>
    </r>
    <r>
      <rPr>
        <b/>
        <vertAlign val="subscript"/>
        <sz val="10"/>
        <rFont val="Calibri"/>
        <family val="2"/>
      </rPr>
      <t>ww,t</t>
    </r>
  </si>
  <si>
    <r>
      <t>(k</t>
    </r>
    <r>
      <rPr>
        <vertAlign val="subscript"/>
        <sz val="10"/>
        <rFont val="Calibri"/>
        <family val="2"/>
      </rPr>
      <t>B1</t>
    </r>
    <r>
      <rPr>
        <sz val="10"/>
        <rFont val="Calibri"/>
        <family val="2"/>
      </rPr>
      <t>+k</t>
    </r>
    <r>
      <rPr>
        <vertAlign val="subscript"/>
        <sz val="10"/>
        <rFont val="Calibri"/>
        <family val="2"/>
      </rPr>
      <t>D</t>
    </r>
    <r>
      <rPr>
        <sz val="10"/>
        <rFont val="Calibri"/>
        <family val="2"/>
      </rPr>
      <t>·C</t>
    </r>
    <r>
      <rPr>
        <vertAlign val="subscript"/>
        <sz val="10"/>
        <rFont val="Calibri"/>
        <family val="2"/>
      </rPr>
      <t>D</t>
    </r>
    <r>
      <rPr>
        <sz val="10"/>
        <rFont val="Calibri"/>
        <family val="2"/>
      </rPr>
      <t>/C</t>
    </r>
    <r>
      <rPr>
        <vertAlign val="subscript"/>
        <sz val="10"/>
        <rFont val="Calibri"/>
        <family val="2"/>
      </rPr>
      <t>WD</t>
    </r>
    <r>
      <rPr>
        <sz val="10"/>
        <rFont val="Calibri"/>
        <family val="2"/>
      </rPr>
      <t>)/[k</t>
    </r>
    <r>
      <rPr>
        <vertAlign val="subscript"/>
        <sz val="10"/>
        <rFont val="Calibri"/>
        <family val="2"/>
      </rPr>
      <t>BT</t>
    </r>
    <r>
      <rPr>
        <sz val="10"/>
        <rFont val="Calibri"/>
        <family val="2"/>
      </rPr>
      <t>·(1+C</t>
    </r>
    <r>
      <rPr>
        <vertAlign val="subscript"/>
        <sz val="10"/>
        <rFont val="Calibri"/>
        <family val="2"/>
      </rPr>
      <t>OC</t>
    </r>
    <r>
      <rPr>
        <sz val="10"/>
        <rFont val="Calibri"/>
        <family val="2"/>
      </rPr>
      <t>·K</t>
    </r>
    <r>
      <rPr>
        <vertAlign val="subscript"/>
        <sz val="10"/>
        <rFont val="Calibri"/>
        <family val="2"/>
      </rPr>
      <t>OC</t>
    </r>
    <r>
      <rPr>
        <sz val="10"/>
        <rFont val="Calibri"/>
        <family val="2"/>
      </rPr>
      <t>)]</t>
    </r>
  </si>
  <si>
    <r>
      <t>Partial derivative of BAF</t>
    </r>
    <r>
      <rPr>
        <vertAlign val="subscript"/>
        <sz val="10"/>
        <rFont val="Calibri"/>
        <family val="2"/>
      </rPr>
      <t xml:space="preserve">ww,t </t>
    </r>
    <r>
      <rPr>
        <sz val="10"/>
        <rFont val="Calibri"/>
        <family val="2"/>
      </rPr>
      <t>with respect to k</t>
    </r>
    <r>
      <rPr>
        <vertAlign val="subscript"/>
        <sz val="10"/>
        <rFont val="Calibri"/>
        <family val="2"/>
      </rPr>
      <t>B1</t>
    </r>
  </si>
  <si>
    <r>
      <t>Partial derivative of BAF</t>
    </r>
    <r>
      <rPr>
        <vertAlign val="subscript"/>
        <sz val="10"/>
        <rFont val="Calibri"/>
        <family val="2"/>
      </rPr>
      <t>ww,t</t>
    </r>
    <r>
      <rPr>
        <sz val="10"/>
        <rFont val="Calibri"/>
        <family val="2"/>
      </rPr>
      <t xml:space="preserve"> with respect to C</t>
    </r>
    <r>
      <rPr>
        <vertAlign val="subscript"/>
        <sz val="10"/>
        <rFont val="Calibri"/>
        <family val="2"/>
      </rPr>
      <t>D</t>
    </r>
  </si>
  <si>
    <r>
      <t>Partial derivative of BAF</t>
    </r>
    <r>
      <rPr>
        <vertAlign val="subscript"/>
        <sz val="10"/>
        <rFont val="Calibri"/>
        <family val="2"/>
      </rPr>
      <t xml:space="preserve">ww,t </t>
    </r>
    <r>
      <rPr>
        <sz val="10"/>
        <rFont val="Calibri"/>
        <family val="2"/>
      </rPr>
      <t>with respect to b</t>
    </r>
    <r>
      <rPr>
        <vertAlign val="subscript"/>
        <sz val="10"/>
        <rFont val="Calibri"/>
        <family val="2"/>
      </rPr>
      <t>0</t>
    </r>
  </si>
  <si>
    <r>
      <t>Partial derivative of BAF</t>
    </r>
    <r>
      <rPr>
        <vertAlign val="subscript"/>
        <sz val="10"/>
        <rFont val="Calibri"/>
        <family val="2"/>
      </rPr>
      <t xml:space="preserve">ww,t </t>
    </r>
    <r>
      <rPr>
        <sz val="10"/>
        <rFont val="Calibri"/>
        <family val="2"/>
      </rPr>
      <t>with respect to b</t>
    </r>
    <r>
      <rPr>
        <vertAlign val="subscript"/>
        <sz val="10"/>
        <rFont val="Calibri"/>
        <family val="2"/>
      </rPr>
      <t>1</t>
    </r>
  </si>
  <si>
    <r>
      <t>Standard error of BAF</t>
    </r>
    <r>
      <rPr>
        <vertAlign val="subscript"/>
        <sz val="10"/>
        <rFont val="Calibri"/>
        <family val="2"/>
      </rPr>
      <t>ww,t</t>
    </r>
  </si>
  <si>
    <r>
      <t>SE(BAF</t>
    </r>
    <r>
      <rPr>
        <vertAlign val="subscript"/>
        <sz val="10"/>
        <rFont val="Calibri"/>
        <family val="2"/>
      </rPr>
      <t>ww,t</t>
    </r>
    <r>
      <rPr>
        <sz val="10"/>
        <rFont val="Calibri"/>
        <family val="2"/>
      </rPr>
      <t>)</t>
    </r>
  </si>
  <si>
    <r>
      <t>əBMF/əb</t>
    </r>
    <r>
      <rPr>
        <vertAlign val="subscript"/>
        <sz val="10"/>
        <rFont val="Calibri"/>
        <family val="2"/>
      </rPr>
      <t>1</t>
    </r>
    <r>
      <rPr>
        <sz val="11"/>
        <color theme="1"/>
        <rFont val="Calibri"/>
        <family val="2"/>
        <scheme val="minor"/>
      </rPr>
      <t/>
    </r>
  </si>
  <si>
    <r>
      <t>əBAF</t>
    </r>
    <r>
      <rPr>
        <vertAlign val="subscript"/>
        <sz val="10"/>
        <rFont val="Calibri"/>
        <family val="2"/>
      </rPr>
      <t>ww,t</t>
    </r>
    <r>
      <rPr>
        <sz val="10"/>
        <rFont val="Calibri"/>
        <family val="2"/>
      </rPr>
      <t>/ək</t>
    </r>
    <r>
      <rPr>
        <vertAlign val="subscript"/>
        <sz val="10"/>
        <rFont val="Calibri"/>
        <family val="2"/>
      </rPr>
      <t>B1</t>
    </r>
  </si>
  <si>
    <r>
      <t>əBAF</t>
    </r>
    <r>
      <rPr>
        <vertAlign val="subscript"/>
        <sz val="10"/>
        <rFont val="Calibri"/>
        <family val="2"/>
      </rPr>
      <t>ww,t</t>
    </r>
    <r>
      <rPr>
        <sz val="10"/>
        <rFont val="Calibri"/>
        <family val="2"/>
      </rPr>
      <t>/əC</t>
    </r>
    <r>
      <rPr>
        <vertAlign val="subscript"/>
        <sz val="10"/>
        <rFont val="Calibri"/>
        <family val="2"/>
      </rPr>
      <t>D</t>
    </r>
  </si>
  <si>
    <r>
      <t>əBAF</t>
    </r>
    <r>
      <rPr>
        <vertAlign val="subscript"/>
        <sz val="10"/>
        <rFont val="Calibri"/>
        <family val="2"/>
      </rPr>
      <t>ww,</t>
    </r>
    <r>
      <rPr>
        <sz val="10"/>
        <rFont val="Calibri"/>
        <family val="2"/>
      </rPr>
      <t>t/əb</t>
    </r>
    <r>
      <rPr>
        <vertAlign val="subscript"/>
        <sz val="10"/>
        <rFont val="Calibri"/>
        <family val="2"/>
      </rPr>
      <t>0</t>
    </r>
  </si>
  <si>
    <r>
      <t>əBAF</t>
    </r>
    <r>
      <rPr>
        <vertAlign val="subscript"/>
        <sz val="10"/>
        <rFont val="Calibri"/>
        <family val="2"/>
      </rPr>
      <t>ww,t</t>
    </r>
    <r>
      <rPr>
        <sz val="10"/>
        <rFont val="Calibri"/>
        <family val="2"/>
      </rPr>
      <t>/əb</t>
    </r>
    <r>
      <rPr>
        <vertAlign val="subscript"/>
        <sz val="10"/>
        <rFont val="Calibri"/>
        <family val="2"/>
      </rPr>
      <t>1</t>
    </r>
  </si>
  <si>
    <r>
      <t>əBAF</t>
    </r>
    <r>
      <rPr>
        <vertAlign val="subscript"/>
        <sz val="10"/>
        <rFont val="Calibri"/>
        <family val="2"/>
      </rPr>
      <t>ww,t</t>
    </r>
    <r>
      <rPr>
        <sz val="10"/>
        <rFont val="Calibri"/>
        <family val="2"/>
      </rPr>
      <t>/ək</t>
    </r>
    <r>
      <rPr>
        <vertAlign val="subscript"/>
        <sz val="10"/>
        <rFont val="Calibri"/>
        <family val="2"/>
      </rPr>
      <t>B1</t>
    </r>
    <r>
      <rPr>
        <sz val="10"/>
        <rFont val="Calibri"/>
        <family val="2"/>
      </rPr>
      <t xml:space="preserve"> = -1/[b</t>
    </r>
    <r>
      <rPr>
        <vertAlign val="subscript"/>
        <sz val="10"/>
        <rFont val="Calibri"/>
        <family val="2"/>
      </rPr>
      <t>1</t>
    </r>
    <r>
      <rPr>
        <sz val="10"/>
        <rFont val="Calibri"/>
        <family val="2"/>
      </rPr>
      <t>·(1+C</t>
    </r>
    <r>
      <rPr>
        <vertAlign val="subscript"/>
        <sz val="10"/>
        <rFont val="Calibri"/>
        <family val="2"/>
      </rPr>
      <t>OC</t>
    </r>
    <r>
      <rPr>
        <sz val="10"/>
        <rFont val="Calibri"/>
        <family val="2"/>
      </rPr>
      <t>·K</t>
    </r>
    <r>
      <rPr>
        <vertAlign val="subscript"/>
        <sz val="10"/>
        <rFont val="Calibri"/>
        <family val="2"/>
      </rPr>
      <t>OC</t>
    </r>
    <r>
      <rPr>
        <sz val="10"/>
        <rFont val="Calibri"/>
        <family val="2"/>
      </rPr>
      <t>)]</t>
    </r>
  </si>
  <si>
    <r>
      <t>SE(BAF</t>
    </r>
    <r>
      <rPr>
        <vertAlign val="subscript"/>
        <sz val="10"/>
        <rFont val="Calibri"/>
        <family val="2"/>
      </rPr>
      <t>ww,t</t>
    </r>
    <r>
      <rPr>
        <sz val="10"/>
        <rFont val="Calibri"/>
        <family val="2"/>
      </rPr>
      <t>) = {[(əBAF</t>
    </r>
    <r>
      <rPr>
        <vertAlign val="subscript"/>
        <sz val="10"/>
        <rFont val="Calibri"/>
        <family val="2"/>
      </rPr>
      <t>ww,t</t>
    </r>
    <r>
      <rPr>
        <sz val="10"/>
        <rFont val="Calibri"/>
        <family val="2"/>
      </rPr>
      <t>/ək</t>
    </r>
    <r>
      <rPr>
        <vertAlign val="subscript"/>
        <sz val="10"/>
        <rFont val="Calibri"/>
        <family val="2"/>
      </rPr>
      <t>B1</t>
    </r>
    <r>
      <rPr>
        <sz val="10"/>
        <rFont val="Calibri"/>
        <family val="2"/>
      </rPr>
      <t>)·SE(k</t>
    </r>
    <r>
      <rPr>
        <vertAlign val="subscript"/>
        <sz val="10"/>
        <rFont val="Calibri"/>
        <family val="2"/>
      </rPr>
      <t>B1</t>
    </r>
    <r>
      <rPr>
        <sz val="10"/>
        <rFont val="Calibri"/>
        <family val="2"/>
      </rPr>
      <t>)]</t>
    </r>
    <r>
      <rPr>
        <vertAlign val="superscript"/>
        <sz val="10"/>
        <rFont val="Calibri"/>
        <family val="2"/>
      </rPr>
      <t>2</t>
    </r>
    <r>
      <rPr>
        <sz val="10"/>
        <rFont val="Calibri"/>
        <family val="2"/>
      </rPr>
      <t>+[(əBAF</t>
    </r>
    <r>
      <rPr>
        <vertAlign val="subscript"/>
        <sz val="10"/>
        <rFont val="Calibri"/>
        <family val="2"/>
      </rPr>
      <t>ww,t</t>
    </r>
    <r>
      <rPr>
        <sz val="10"/>
        <rFont val="Calibri"/>
        <family val="2"/>
      </rPr>
      <t>/əC</t>
    </r>
    <r>
      <rPr>
        <vertAlign val="subscript"/>
        <sz val="10"/>
        <rFont val="Calibri"/>
        <family val="2"/>
      </rPr>
      <t>D</t>
    </r>
    <r>
      <rPr>
        <sz val="10"/>
        <rFont val="Calibri"/>
        <family val="2"/>
      </rPr>
      <t>)·SE(C</t>
    </r>
    <r>
      <rPr>
        <vertAlign val="subscript"/>
        <sz val="10"/>
        <rFont val="Calibri"/>
        <family val="2"/>
      </rPr>
      <t>D</t>
    </r>
    <r>
      <rPr>
        <sz val="10"/>
        <rFont val="Calibri"/>
        <family val="2"/>
      </rPr>
      <t>)]</t>
    </r>
    <r>
      <rPr>
        <vertAlign val="superscript"/>
        <sz val="10"/>
        <rFont val="Calibri"/>
        <family val="2"/>
      </rPr>
      <t>2</t>
    </r>
    <r>
      <rPr>
        <sz val="10"/>
        <rFont val="Calibri"/>
        <family val="2"/>
      </rPr>
      <t>+[(əBAF</t>
    </r>
    <r>
      <rPr>
        <vertAlign val="subscript"/>
        <sz val="10"/>
        <rFont val="Calibri"/>
        <family val="2"/>
      </rPr>
      <t>ww,t</t>
    </r>
    <r>
      <rPr>
        <sz val="10"/>
        <rFont val="Calibri"/>
        <family val="2"/>
      </rPr>
      <t>/əb</t>
    </r>
    <r>
      <rPr>
        <vertAlign val="subscript"/>
        <sz val="10"/>
        <rFont val="Calibri"/>
        <family val="2"/>
      </rPr>
      <t>0</t>
    </r>
    <r>
      <rPr>
        <sz val="10"/>
        <rFont val="Calibri"/>
        <family val="2"/>
      </rPr>
      <t>)·SE(b</t>
    </r>
    <r>
      <rPr>
        <vertAlign val="subscript"/>
        <sz val="10"/>
        <rFont val="Calibri"/>
        <family val="2"/>
      </rPr>
      <t>0</t>
    </r>
    <r>
      <rPr>
        <sz val="10"/>
        <rFont val="Calibri"/>
        <family val="2"/>
      </rPr>
      <t>)]</t>
    </r>
    <r>
      <rPr>
        <vertAlign val="superscript"/>
        <sz val="10"/>
        <rFont val="Calibri"/>
        <family val="2"/>
      </rPr>
      <t>2</t>
    </r>
    <r>
      <rPr>
        <sz val="10"/>
        <rFont val="Calibri"/>
        <family val="2"/>
      </rPr>
      <t>+[(əBAF</t>
    </r>
    <r>
      <rPr>
        <vertAlign val="subscript"/>
        <sz val="10"/>
        <rFont val="Calibri"/>
        <family val="2"/>
      </rPr>
      <t>ww,t</t>
    </r>
    <r>
      <rPr>
        <sz val="10"/>
        <rFont val="Calibri"/>
        <family val="2"/>
      </rPr>
      <t>/əb</t>
    </r>
    <r>
      <rPr>
        <vertAlign val="subscript"/>
        <sz val="10"/>
        <rFont val="Calibri"/>
        <family val="2"/>
      </rPr>
      <t>1</t>
    </r>
    <r>
      <rPr>
        <sz val="10"/>
        <rFont val="Calibri"/>
        <family val="2"/>
      </rPr>
      <t>)·SE(b</t>
    </r>
    <r>
      <rPr>
        <vertAlign val="subscript"/>
        <sz val="10"/>
        <rFont val="Calibri"/>
        <family val="2"/>
      </rPr>
      <t>1</t>
    </r>
    <r>
      <rPr>
        <sz val="10"/>
        <rFont val="Calibri"/>
        <family val="2"/>
      </rPr>
      <t>)]</t>
    </r>
    <r>
      <rPr>
        <vertAlign val="superscript"/>
        <sz val="10"/>
        <rFont val="Calibri"/>
        <family val="2"/>
      </rPr>
      <t>2</t>
    </r>
    <r>
      <rPr>
        <sz val="10"/>
        <rFont val="Calibri"/>
        <family val="2"/>
      </rPr>
      <t>+2·(əBAF</t>
    </r>
    <r>
      <rPr>
        <vertAlign val="subscript"/>
        <sz val="10"/>
        <rFont val="Calibri"/>
        <family val="2"/>
      </rPr>
      <t>ww,t</t>
    </r>
    <r>
      <rPr>
        <sz val="10"/>
        <rFont val="Calibri"/>
        <family val="2"/>
      </rPr>
      <t>/əb</t>
    </r>
    <r>
      <rPr>
        <vertAlign val="subscript"/>
        <sz val="10"/>
        <rFont val="Calibri"/>
        <family val="2"/>
      </rPr>
      <t>0</t>
    </r>
    <r>
      <rPr>
        <sz val="10"/>
        <rFont val="Calibri"/>
        <family val="2"/>
      </rPr>
      <t>)·(əBAF</t>
    </r>
    <r>
      <rPr>
        <vertAlign val="subscript"/>
        <sz val="10"/>
        <rFont val="Calibri"/>
        <family val="2"/>
      </rPr>
      <t>ww,t</t>
    </r>
    <r>
      <rPr>
        <sz val="10"/>
        <rFont val="Calibri"/>
        <family val="2"/>
      </rPr>
      <t>/əb</t>
    </r>
    <r>
      <rPr>
        <vertAlign val="subscript"/>
        <sz val="10"/>
        <rFont val="Calibri"/>
        <family val="2"/>
      </rPr>
      <t>1</t>
    </r>
    <r>
      <rPr>
        <sz val="10"/>
        <rFont val="Calibri"/>
        <family val="2"/>
      </rPr>
      <t>)·Cov(b</t>
    </r>
    <r>
      <rPr>
        <vertAlign val="subscript"/>
        <sz val="10"/>
        <rFont val="Calibri"/>
        <family val="2"/>
      </rPr>
      <t>0</t>
    </r>
    <r>
      <rPr>
        <sz val="10"/>
        <rFont val="Calibri"/>
        <family val="2"/>
      </rPr>
      <t>,b</t>
    </r>
    <r>
      <rPr>
        <vertAlign val="subscript"/>
        <sz val="10"/>
        <rFont val="Calibri"/>
        <family val="2"/>
      </rPr>
      <t>1</t>
    </r>
    <r>
      <rPr>
        <sz val="10"/>
        <rFont val="Calibri"/>
        <family val="2"/>
      </rPr>
      <t>)}</t>
    </r>
    <r>
      <rPr>
        <vertAlign val="superscript"/>
        <sz val="10"/>
        <rFont val="Calibri"/>
        <family val="2"/>
      </rPr>
      <t>0.5</t>
    </r>
  </si>
  <si>
    <r>
      <t>k</t>
    </r>
    <r>
      <rPr>
        <vertAlign val="subscript"/>
        <sz val="10"/>
        <rFont val="Calibri"/>
        <family val="2"/>
      </rPr>
      <t xml:space="preserve">BT </t>
    </r>
    <r>
      <rPr>
        <sz val="10"/>
        <rFont val="Calibri"/>
        <family val="2"/>
      </rPr>
      <t>= -b</t>
    </r>
    <r>
      <rPr>
        <vertAlign val="subscript"/>
        <sz val="10"/>
        <rFont val="Calibri"/>
        <family val="2"/>
      </rPr>
      <t>1</t>
    </r>
  </si>
  <si>
    <r>
      <t>k</t>
    </r>
    <r>
      <rPr>
        <vertAlign val="subscript"/>
        <sz val="10"/>
        <rFont val="Calibri"/>
        <family val="2"/>
      </rPr>
      <t xml:space="preserve">BG </t>
    </r>
    <r>
      <rPr>
        <sz val="10"/>
        <rFont val="Calibri"/>
        <family val="2"/>
      </rPr>
      <t>= K</t>
    </r>
    <r>
      <rPr>
        <vertAlign val="subscript"/>
        <sz val="10"/>
        <rFont val="Calibri"/>
        <family val="2"/>
      </rPr>
      <t>GB</t>
    </r>
    <r>
      <rPr>
        <sz val="10"/>
        <rFont val="Calibri"/>
        <family val="2"/>
      </rPr>
      <t>·k</t>
    </r>
    <r>
      <rPr>
        <vertAlign val="subscript"/>
        <sz val="10"/>
        <rFont val="Calibri"/>
        <family val="2"/>
      </rPr>
      <t>GB</t>
    </r>
    <r>
      <rPr>
        <sz val="10"/>
        <rFont val="Calibri"/>
        <family val="2"/>
      </rPr>
      <t>·(W</t>
    </r>
    <r>
      <rPr>
        <vertAlign val="subscript"/>
        <sz val="10"/>
        <rFont val="Calibri"/>
        <family val="2"/>
      </rPr>
      <t>G</t>
    </r>
    <r>
      <rPr>
        <sz val="10"/>
        <rFont val="Calibri"/>
        <family val="2"/>
      </rPr>
      <t>/W</t>
    </r>
    <r>
      <rPr>
        <vertAlign val="subscript"/>
        <sz val="10"/>
        <rFont val="Calibri"/>
        <family val="2"/>
      </rPr>
      <t>B</t>
    </r>
    <r>
      <rPr>
        <sz val="10"/>
        <rFont val="Calibri"/>
        <family val="2"/>
      </rPr>
      <t>)·(d</t>
    </r>
    <r>
      <rPr>
        <vertAlign val="subscript"/>
        <sz val="10"/>
        <rFont val="Calibri"/>
        <family val="2"/>
      </rPr>
      <t>B</t>
    </r>
    <r>
      <rPr>
        <sz val="10"/>
        <rFont val="Calibri"/>
        <family val="2"/>
      </rPr>
      <t>/d</t>
    </r>
    <r>
      <rPr>
        <vertAlign val="subscript"/>
        <sz val="10"/>
        <rFont val="Calibri"/>
        <family val="2"/>
      </rPr>
      <t>G</t>
    </r>
    <r>
      <rPr>
        <sz val="10"/>
        <rFont val="Calibri"/>
        <family val="2"/>
      </rPr>
      <t>)</t>
    </r>
  </si>
  <si>
    <t>Concentration of chemical in fish body at steady state</t>
  </si>
  <si>
    <t>Dissolved organic carbon-water partition coefficient</t>
  </si>
  <si>
    <r>
      <t>Partial derivative of k</t>
    </r>
    <r>
      <rPr>
        <vertAlign val="subscript"/>
        <sz val="10"/>
        <rFont val="Calibri"/>
        <family val="2"/>
      </rPr>
      <t>D</t>
    </r>
    <r>
      <rPr>
        <sz val="10"/>
        <rFont val="Calibri"/>
        <family val="2"/>
      </rPr>
      <t xml:space="preserve"> with respect to C</t>
    </r>
    <r>
      <rPr>
        <vertAlign val="subscript"/>
        <sz val="10"/>
        <rFont val="Calibri"/>
        <family val="2"/>
      </rPr>
      <t>D</t>
    </r>
  </si>
  <si>
    <r>
      <t>ək</t>
    </r>
    <r>
      <rPr>
        <vertAlign val="subscript"/>
        <sz val="10"/>
        <rFont val="Calibri"/>
        <family val="2"/>
      </rPr>
      <t>D</t>
    </r>
    <r>
      <rPr>
        <sz val="10"/>
        <rFont val="Calibri"/>
        <family val="2"/>
      </rPr>
      <t>/əC</t>
    </r>
    <r>
      <rPr>
        <vertAlign val="subscript"/>
        <sz val="10"/>
        <rFont val="Calibri"/>
        <family val="2"/>
      </rPr>
      <t>D</t>
    </r>
  </si>
  <si>
    <r>
      <t>ək</t>
    </r>
    <r>
      <rPr>
        <vertAlign val="subscript"/>
        <sz val="10"/>
        <rFont val="Calibri"/>
        <family val="2"/>
      </rPr>
      <t>D</t>
    </r>
    <r>
      <rPr>
        <sz val="10"/>
        <rFont val="Calibri"/>
        <family val="2"/>
      </rPr>
      <t>/əC</t>
    </r>
    <r>
      <rPr>
        <vertAlign val="subscript"/>
        <sz val="10"/>
        <rFont val="Calibri"/>
        <family val="2"/>
      </rPr>
      <t>D</t>
    </r>
    <r>
      <rPr>
        <sz val="10"/>
        <rFont val="Calibri"/>
        <family val="2"/>
      </rPr>
      <t xml:space="preserve"> = e</t>
    </r>
    <r>
      <rPr>
        <vertAlign val="superscript"/>
        <sz val="10"/>
        <rFont val="Calibri"/>
        <family val="2"/>
      </rPr>
      <t>b0</t>
    </r>
    <r>
      <rPr>
        <sz val="10"/>
        <rFont val="Calibri"/>
        <family val="2"/>
      </rPr>
      <t>·b</t>
    </r>
    <r>
      <rPr>
        <vertAlign val="subscript"/>
        <sz val="10"/>
        <rFont val="Calibri"/>
        <family val="2"/>
      </rPr>
      <t>1</t>
    </r>
    <r>
      <rPr>
        <sz val="10"/>
        <rFont val="Calibri"/>
        <family val="2"/>
      </rPr>
      <t>/[C</t>
    </r>
    <r>
      <rPr>
        <vertAlign val="subscript"/>
        <sz val="10"/>
        <rFont val="Calibri"/>
        <family val="2"/>
      </rPr>
      <t>D</t>
    </r>
    <r>
      <rPr>
        <vertAlign val="superscript"/>
        <sz val="10"/>
        <rFont val="Calibri"/>
        <family val="2"/>
      </rPr>
      <t>2</t>
    </r>
    <r>
      <rPr>
        <sz val="10"/>
        <rFont val="Calibri"/>
        <family val="2"/>
      </rPr>
      <t>·(1-e</t>
    </r>
    <r>
      <rPr>
        <vertAlign val="superscript"/>
        <sz val="10"/>
        <rFont val="Calibri"/>
        <family val="2"/>
      </rPr>
      <t>b1·tu</t>
    </r>
    <r>
      <rPr>
        <sz val="10"/>
        <rFont val="Calibri"/>
        <family val="2"/>
      </rPr>
      <t>)]</t>
    </r>
  </si>
  <si>
    <r>
      <t>Partial derivative of k</t>
    </r>
    <r>
      <rPr>
        <vertAlign val="subscript"/>
        <sz val="10"/>
        <rFont val="Calibri"/>
        <family val="2"/>
      </rPr>
      <t>D</t>
    </r>
    <r>
      <rPr>
        <sz val="10"/>
        <rFont val="Calibri"/>
        <family val="2"/>
      </rPr>
      <t xml:space="preserve"> with respect to b</t>
    </r>
    <r>
      <rPr>
        <vertAlign val="subscript"/>
        <sz val="10"/>
        <rFont val="Calibri"/>
        <family val="2"/>
      </rPr>
      <t>0</t>
    </r>
  </si>
  <si>
    <r>
      <t>ək</t>
    </r>
    <r>
      <rPr>
        <vertAlign val="subscript"/>
        <sz val="10"/>
        <rFont val="Calibri"/>
        <family val="2"/>
      </rPr>
      <t>D</t>
    </r>
    <r>
      <rPr>
        <sz val="10"/>
        <rFont val="Calibri"/>
        <family val="2"/>
      </rPr>
      <t>/əb</t>
    </r>
    <r>
      <rPr>
        <vertAlign val="subscript"/>
        <sz val="10"/>
        <rFont val="Calibri"/>
        <family val="2"/>
      </rPr>
      <t>0</t>
    </r>
  </si>
  <si>
    <r>
      <t>ək</t>
    </r>
    <r>
      <rPr>
        <vertAlign val="subscript"/>
        <sz val="10"/>
        <rFont val="Calibri"/>
        <family val="2"/>
      </rPr>
      <t>D</t>
    </r>
    <r>
      <rPr>
        <sz val="10"/>
        <rFont val="Calibri"/>
        <family val="2"/>
      </rPr>
      <t>/əb</t>
    </r>
    <r>
      <rPr>
        <vertAlign val="subscript"/>
        <sz val="10"/>
        <rFont val="Calibri"/>
        <family val="2"/>
      </rPr>
      <t>0</t>
    </r>
    <r>
      <rPr>
        <sz val="10"/>
        <rFont val="Calibri"/>
        <family val="2"/>
      </rPr>
      <t xml:space="preserve"> = -e</t>
    </r>
    <r>
      <rPr>
        <vertAlign val="superscript"/>
        <sz val="10"/>
        <rFont val="Calibri"/>
        <family val="2"/>
      </rPr>
      <t>b0</t>
    </r>
    <r>
      <rPr>
        <sz val="10"/>
        <rFont val="Calibri"/>
        <family val="2"/>
      </rPr>
      <t>·b</t>
    </r>
    <r>
      <rPr>
        <vertAlign val="subscript"/>
        <sz val="10"/>
        <rFont val="Calibri"/>
        <family val="2"/>
      </rPr>
      <t>1</t>
    </r>
    <r>
      <rPr>
        <sz val="10"/>
        <rFont val="Calibri"/>
        <family val="2"/>
      </rPr>
      <t>/[C</t>
    </r>
    <r>
      <rPr>
        <vertAlign val="subscript"/>
        <sz val="10"/>
        <rFont val="Calibri"/>
        <family val="2"/>
      </rPr>
      <t>D</t>
    </r>
    <r>
      <rPr>
        <sz val="10"/>
        <rFont val="Calibri"/>
        <family val="2"/>
      </rPr>
      <t>·(1-e</t>
    </r>
    <r>
      <rPr>
        <vertAlign val="superscript"/>
        <sz val="10"/>
        <rFont val="Calibri"/>
        <family val="2"/>
      </rPr>
      <t>b1·tu</t>
    </r>
    <r>
      <rPr>
        <sz val="10"/>
        <rFont val="Calibri"/>
        <family val="2"/>
      </rPr>
      <t>)]</t>
    </r>
  </si>
  <si>
    <r>
      <t>Partial derivative of k</t>
    </r>
    <r>
      <rPr>
        <vertAlign val="subscript"/>
        <sz val="10"/>
        <rFont val="Calibri"/>
        <family val="2"/>
      </rPr>
      <t>D</t>
    </r>
    <r>
      <rPr>
        <sz val="10"/>
        <rFont val="Calibri"/>
        <family val="2"/>
      </rPr>
      <t xml:space="preserve"> with respect to b</t>
    </r>
    <r>
      <rPr>
        <vertAlign val="subscript"/>
        <sz val="10"/>
        <rFont val="Calibri"/>
        <family val="2"/>
      </rPr>
      <t>1</t>
    </r>
  </si>
  <si>
    <r>
      <t>ək</t>
    </r>
    <r>
      <rPr>
        <vertAlign val="subscript"/>
        <sz val="10"/>
        <rFont val="Calibri"/>
        <family val="2"/>
      </rPr>
      <t>D</t>
    </r>
    <r>
      <rPr>
        <sz val="10"/>
        <rFont val="Calibri"/>
        <family val="2"/>
      </rPr>
      <t>/əb</t>
    </r>
    <r>
      <rPr>
        <vertAlign val="subscript"/>
        <sz val="10"/>
        <rFont val="Calibri"/>
        <family val="2"/>
      </rPr>
      <t>1</t>
    </r>
    <r>
      <rPr>
        <sz val="11"/>
        <color theme="1"/>
        <rFont val="Calibri"/>
        <family val="2"/>
        <scheme val="minor"/>
      </rPr>
      <t/>
    </r>
  </si>
  <si>
    <r>
      <t>ək</t>
    </r>
    <r>
      <rPr>
        <vertAlign val="subscript"/>
        <sz val="10"/>
        <rFont val="Calibri"/>
        <family val="2"/>
      </rPr>
      <t>D</t>
    </r>
    <r>
      <rPr>
        <sz val="10"/>
        <rFont val="Calibri"/>
        <family val="2"/>
      </rPr>
      <t>/əb</t>
    </r>
    <r>
      <rPr>
        <vertAlign val="subscript"/>
        <sz val="10"/>
        <rFont val="Calibri"/>
        <family val="2"/>
      </rPr>
      <t>1</t>
    </r>
    <r>
      <rPr>
        <sz val="10"/>
        <rFont val="Calibri"/>
        <family val="2"/>
      </rPr>
      <t xml:space="preserve"> = -e</t>
    </r>
    <r>
      <rPr>
        <vertAlign val="superscript"/>
        <sz val="10"/>
        <rFont val="Calibri"/>
        <family val="2"/>
      </rPr>
      <t>b0</t>
    </r>
    <r>
      <rPr>
        <sz val="10"/>
        <rFont val="Calibri"/>
        <family val="2"/>
      </rPr>
      <t>·(1-e</t>
    </r>
    <r>
      <rPr>
        <vertAlign val="superscript"/>
        <sz val="10"/>
        <rFont val="Calibri"/>
        <family val="2"/>
      </rPr>
      <t>b1·tu</t>
    </r>
    <r>
      <rPr>
        <sz val="10"/>
        <rFont val="Calibri"/>
        <family val="2"/>
      </rPr>
      <t>+e</t>
    </r>
    <r>
      <rPr>
        <vertAlign val="superscript"/>
        <sz val="10"/>
        <rFont val="Calibri"/>
        <family val="2"/>
      </rPr>
      <t>b1·t</t>
    </r>
    <r>
      <rPr>
        <sz val="10"/>
        <rFont val="Calibri"/>
        <family val="2"/>
      </rPr>
      <t>·b</t>
    </r>
    <r>
      <rPr>
        <vertAlign val="subscript"/>
        <sz val="10"/>
        <rFont val="Calibri"/>
        <family val="2"/>
      </rPr>
      <t>1</t>
    </r>
    <r>
      <rPr>
        <sz val="10"/>
        <rFont val="Calibri"/>
        <family val="2"/>
      </rPr>
      <t>·t</t>
    </r>
    <r>
      <rPr>
        <vertAlign val="subscript"/>
        <sz val="10"/>
        <rFont val="Calibri"/>
        <family val="2"/>
      </rPr>
      <t>u</t>
    </r>
    <r>
      <rPr>
        <sz val="10"/>
        <rFont val="Calibri"/>
        <family val="2"/>
      </rPr>
      <t>)/[C</t>
    </r>
    <r>
      <rPr>
        <vertAlign val="subscript"/>
        <sz val="10"/>
        <rFont val="Calibri"/>
        <family val="2"/>
      </rPr>
      <t>D</t>
    </r>
    <r>
      <rPr>
        <sz val="10"/>
        <rFont val="Calibri"/>
        <family val="2"/>
      </rPr>
      <t>·(1-e</t>
    </r>
    <r>
      <rPr>
        <vertAlign val="superscript"/>
        <sz val="10"/>
        <rFont val="Calibri"/>
        <family val="2"/>
      </rPr>
      <t>b1·tu</t>
    </r>
    <r>
      <rPr>
        <sz val="10"/>
        <rFont val="Calibri"/>
        <family val="2"/>
      </rPr>
      <t>)</t>
    </r>
    <r>
      <rPr>
        <vertAlign val="superscript"/>
        <sz val="10"/>
        <rFont val="Calibri"/>
        <family val="2"/>
      </rPr>
      <t>2</t>
    </r>
    <r>
      <rPr>
        <sz val="10"/>
        <rFont val="Calibri"/>
        <family val="2"/>
      </rPr>
      <t>]</t>
    </r>
  </si>
  <si>
    <r>
      <t>Partial derivative of k</t>
    </r>
    <r>
      <rPr>
        <vertAlign val="subscript"/>
        <sz val="10"/>
        <rFont val="Calibri"/>
        <family val="2"/>
      </rPr>
      <t>BM</t>
    </r>
    <r>
      <rPr>
        <sz val="10"/>
        <rFont val="Calibri"/>
        <family val="2"/>
      </rPr>
      <t xml:space="preserve"> with respect to W</t>
    </r>
    <r>
      <rPr>
        <vertAlign val="subscript"/>
        <sz val="10"/>
        <rFont val="Calibri"/>
        <family val="2"/>
      </rPr>
      <t>B</t>
    </r>
  </si>
  <si>
    <r>
      <t>ək</t>
    </r>
    <r>
      <rPr>
        <vertAlign val="subscript"/>
        <sz val="10"/>
        <rFont val="Calibri"/>
        <family val="2"/>
      </rPr>
      <t>BM</t>
    </r>
    <r>
      <rPr>
        <sz val="10"/>
        <rFont val="Calibri"/>
        <family val="2"/>
      </rPr>
      <t>/əW</t>
    </r>
    <r>
      <rPr>
        <vertAlign val="subscript"/>
        <sz val="10"/>
        <rFont val="Calibri"/>
        <family val="2"/>
      </rPr>
      <t>B</t>
    </r>
  </si>
  <si>
    <r>
      <t>ək</t>
    </r>
    <r>
      <rPr>
        <vertAlign val="subscript"/>
        <sz val="10"/>
        <rFont val="Calibri"/>
        <family val="2"/>
      </rPr>
      <t>BM</t>
    </r>
    <r>
      <rPr>
        <sz val="10"/>
        <rFont val="Calibri"/>
        <family val="2"/>
      </rPr>
      <t>/əW</t>
    </r>
    <r>
      <rPr>
        <vertAlign val="subscript"/>
        <sz val="10"/>
        <rFont val="Calibri"/>
        <family val="2"/>
      </rPr>
      <t>B</t>
    </r>
    <r>
      <rPr>
        <sz val="10"/>
        <rFont val="Calibri"/>
        <family val="2"/>
      </rPr>
      <t xml:space="preserve"> = -W</t>
    </r>
    <r>
      <rPr>
        <vertAlign val="subscript"/>
        <sz val="10"/>
        <rFont val="Calibri"/>
        <family val="2"/>
      </rPr>
      <t>B</t>
    </r>
    <r>
      <rPr>
        <vertAlign val="superscript"/>
        <sz val="10"/>
        <rFont val="Calibri"/>
        <family val="2"/>
      </rPr>
      <t>C3-1</t>
    </r>
    <r>
      <rPr>
        <sz val="10"/>
        <rFont val="Calibri"/>
        <family val="2"/>
      </rPr>
      <t>·C</t>
    </r>
    <r>
      <rPr>
        <vertAlign val="subscript"/>
        <sz val="10"/>
        <rFont val="Calibri"/>
        <family val="2"/>
      </rPr>
      <t>3</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sz val="10"/>
        <rFont val="Calibri"/>
        <family val="2"/>
      </rPr>
      <t>·K</t>
    </r>
    <r>
      <rPr>
        <vertAlign val="subscript"/>
        <sz val="10"/>
        <rFont val="Calibri"/>
        <family val="2"/>
      </rPr>
      <t>BW</t>
    </r>
    <r>
      <rPr>
        <sz val="10"/>
        <rFont val="Calibri"/>
        <family val="2"/>
      </rPr>
      <t>]</t>
    </r>
  </si>
  <si>
    <r>
      <t>Partial derivative of k</t>
    </r>
    <r>
      <rPr>
        <vertAlign val="subscript"/>
        <sz val="10"/>
        <rFont val="Calibri"/>
        <family val="2"/>
      </rPr>
      <t>BM</t>
    </r>
    <r>
      <rPr>
        <sz val="10"/>
        <rFont val="Calibri"/>
        <family val="2"/>
      </rPr>
      <t xml:space="preserve"> with respect to C</t>
    </r>
    <r>
      <rPr>
        <vertAlign val="subscript"/>
        <sz val="10"/>
        <rFont val="Calibri"/>
        <family val="2"/>
      </rPr>
      <t>D</t>
    </r>
  </si>
  <si>
    <r>
      <t>ək</t>
    </r>
    <r>
      <rPr>
        <vertAlign val="subscript"/>
        <sz val="10"/>
        <rFont val="Calibri"/>
        <family val="2"/>
      </rPr>
      <t>BM</t>
    </r>
    <r>
      <rPr>
        <sz val="10"/>
        <rFont val="Calibri"/>
        <family val="2"/>
      </rPr>
      <t>/əC</t>
    </r>
    <r>
      <rPr>
        <vertAlign val="subscript"/>
        <sz val="10"/>
        <rFont val="Calibri"/>
        <family val="2"/>
      </rPr>
      <t>D</t>
    </r>
  </si>
  <si>
    <r>
      <t>Partial derivative of k</t>
    </r>
    <r>
      <rPr>
        <vertAlign val="subscript"/>
        <sz val="10"/>
        <rFont val="Calibri"/>
        <family val="2"/>
      </rPr>
      <t>BM</t>
    </r>
    <r>
      <rPr>
        <sz val="10"/>
        <rFont val="Calibri"/>
        <family val="2"/>
      </rPr>
      <t xml:space="preserve"> with respect to F</t>
    </r>
    <r>
      <rPr>
        <vertAlign val="subscript"/>
        <sz val="10"/>
        <rFont val="Calibri"/>
        <family val="2"/>
      </rPr>
      <t>D</t>
    </r>
  </si>
  <si>
    <r>
      <t>ək</t>
    </r>
    <r>
      <rPr>
        <vertAlign val="subscript"/>
        <sz val="10"/>
        <rFont val="Calibri"/>
        <family val="2"/>
      </rPr>
      <t>BM</t>
    </r>
    <r>
      <rPr>
        <sz val="10"/>
        <rFont val="Calibri"/>
        <family val="2"/>
      </rPr>
      <t>/əF</t>
    </r>
    <r>
      <rPr>
        <vertAlign val="subscript"/>
        <sz val="10"/>
        <rFont val="Calibri"/>
        <family val="2"/>
      </rPr>
      <t>D</t>
    </r>
  </si>
  <si>
    <r>
      <t>Partial derivative of k</t>
    </r>
    <r>
      <rPr>
        <vertAlign val="subscript"/>
        <sz val="10"/>
        <rFont val="Calibri"/>
        <family val="2"/>
      </rPr>
      <t>BM</t>
    </r>
    <r>
      <rPr>
        <sz val="10"/>
        <rFont val="Calibri"/>
        <family val="2"/>
      </rPr>
      <t xml:space="preserve"> with respect to C</t>
    </r>
    <r>
      <rPr>
        <vertAlign val="subscript"/>
        <sz val="10"/>
        <rFont val="Calibri"/>
        <family val="2"/>
      </rPr>
      <t>OX</t>
    </r>
  </si>
  <si>
    <r>
      <t>ək</t>
    </r>
    <r>
      <rPr>
        <vertAlign val="subscript"/>
        <sz val="10"/>
        <rFont val="Calibri"/>
        <family val="2"/>
      </rPr>
      <t>BM</t>
    </r>
    <r>
      <rPr>
        <sz val="10"/>
        <rFont val="Calibri"/>
        <family val="2"/>
      </rPr>
      <t>/əC</t>
    </r>
    <r>
      <rPr>
        <vertAlign val="subscript"/>
        <sz val="10"/>
        <rFont val="Calibri"/>
        <family val="2"/>
      </rPr>
      <t>OX</t>
    </r>
  </si>
  <si>
    <r>
      <t>ək</t>
    </r>
    <r>
      <rPr>
        <vertAlign val="subscript"/>
        <sz val="10"/>
        <rFont val="Calibri"/>
        <family val="2"/>
      </rPr>
      <t>BM</t>
    </r>
    <r>
      <rPr>
        <sz val="10"/>
        <rFont val="Calibri"/>
        <family val="2"/>
      </rPr>
      <t>/əC</t>
    </r>
    <r>
      <rPr>
        <vertAlign val="subscript"/>
        <sz val="10"/>
        <rFont val="Calibri"/>
        <family val="2"/>
      </rPr>
      <t>OX</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vertAlign val="superscript"/>
        <sz val="10"/>
        <rFont val="Calibri"/>
        <family val="2"/>
      </rPr>
      <t>2</t>
    </r>
    <r>
      <rPr>
        <sz val="10"/>
        <rFont val="Calibri"/>
        <family val="2"/>
      </rPr>
      <t>·K</t>
    </r>
    <r>
      <rPr>
        <vertAlign val="subscript"/>
        <sz val="10"/>
        <rFont val="Calibri"/>
        <family val="2"/>
      </rPr>
      <t>BW</t>
    </r>
    <r>
      <rPr>
        <sz val="10"/>
        <rFont val="Calibri"/>
        <family val="2"/>
      </rPr>
      <t>]</t>
    </r>
  </si>
  <si>
    <r>
      <t>Partial derivative of k</t>
    </r>
    <r>
      <rPr>
        <vertAlign val="subscript"/>
        <sz val="10"/>
        <rFont val="Calibri"/>
        <family val="2"/>
      </rPr>
      <t>BM</t>
    </r>
    <r>
      <rPr>
        <sz val="10"/>
        <rFont val="Calibri"/>
        <family val="2"/>
      </rPr>
      <t xml:space="preserve"> with respect to k</t>
    </r>
    <r>
      <rPr>
        <vertAlign val="subscript"/>
        <sz val="10"/>
        <rFont val="Calibri"/>
        <family val="2"/>
      </rPr>
      <t>GD</t>
    </r>
  </si>
  <si>
    <r>
      <t>ək</t>
    </r>
    <r>
      <rPr>
        <vertAlign val="subscript"/>
        <sz val="10"/>
        <rFont val="Calibri"/>
        <family val="2"/>
      </rPr>
      <t>BM</t>
    </r>
    <r>
      <rPr>
        <sz val="10"/>
        <rFont val="Calibri"/>
        <family val="2"/>
      </rPr>
      <t>/ək</t>
    </r>
    <r>
      <rPr>
        <vertAlign val="subscript"/>
        <sz val="10"/>
        <rFont val="Calibri"/>
        <family val="2"/>
      </rPr>
      <t>GD</t>
    </r>
  </si>
  <si>
    <r>
      <t>ək</t>
    </r>
    <r>
      <rPr>
        <vertAlign val="subscript"/>
        <sz val="10"/>
        <rFont val="Calibri"/>
        <family val="2"/>
      </rPr>
      <t>BM</t>
    </r>
    <r>
      <rPr>
        <sz val="10"/>
        <rFont val="Calibri"/>
        <family val="2"/>
      </rPr>
      <t>/ək</t>
    </r>
    <r>
      <rPr>
        <vertAlign val="subscript"/>
        <sz val="10"/>
        <rFont val="Calibri"/>
        <family val="2"/>
      </rPr>
      <t>GD</t>
    </r>
    <r>
      <rPr>
        <sz val="10"/>
        <rFont val="Calibri"/>
        <family val="2"/>
      </rPr>
      <t xml:space="preserve"> = -1</t>
    </r>
  </si>
  <si>
    <r>
      <t>Partial derivative of k</t>
    </r>
    <r>
      <rPr>
        <vertAlign val="subscript"/>
        <sz val="10"/>
        <rFont val="Calibri"/>
        <family val="2"/>
      </rPr>
      <t>BM</t>
    </r>
    <r>
      <rPr>
        <sz val="10"/>
        <rFont val="Calibri"/>
        <family val="2"/>
      </rPr>
      <t xml:space="preserve"> with respect to C</t>
    </r>
    <r>
      <rPr>
        <vertAlign val="subscript"/>
        <sz val="10"/>
        <rFont val="Calibri"/>
        <family val="2"/>
      </rPr>
      <t>1</t>
    </r>
  </si>
  <si>
    <r>
      <t>ək</t>
    </r>
    <r>
      <rPr>
        <vertAlign val="subscript"/>
        <sz val="10"/>
        <rFont val="Calibri"/>
        <family val="2"/>
      </rPr>
      <t>BM</t>
    </r>
    <r>
      <rPr>
        <sz val="10"/>
        <rFont val="Calibri"/>
        <family val="2"/>
      </rPr>
      <t>/əC</t>
    </r>
    <r>
      <rPr>
        <vertAlign val="subscript"/>
        <sz val="10"/>
        <rFont val="Calibri"/>
        <family val="2"/>
      </rPr>
      <t>1</t>
    </r>
  </si>
  <si>
    <r>
      <t>ək</t>
    </r>
    <r>
      <rPr>
        <vertAlign val="subscript"/>
        <sz val="10"/>
        <rFont val="Calibri"/>
        <family val="2"/>
      </rPr>
      <t>BM</t>
    </r>
    <r>
      <rPr>
        <sz val="10"/>
        <rFont val="Calibri"/>
        <family val="2"/>
      </rPr>
      <t>/əC</t>
    </r>
    <r>
      <rPr>
        <vertAlign val="subscript"/>
        <sz val="10"/>
        <rFont val="Calibri"/>
        <family val="2"/>
      </rPr>
      <t>1</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t>
    </r>
    <r>
      <rPr>
        <vertAlign val="superscript"/>
        <sz val="10"/>
        <rFont val="Calibri"/>
        <family val="2"/>
      </rPr>
      <t>2</t>
    </r>
    <r>
      <rPr>
        <sz val="10"/>
        <rFont val="Calibri"/>
        <family val="2"/>
      </rPr>
      <t>·C</t>
    </r>
    <r>
      <rPr>
        <vertAlign val="subscript"/>
        <sz val="10"/>
        <rFont val="Calibri"/>
        <family val="2"/>
      </rPr>
      <t>OX</t>
    </r>
    <r>
      <rPr>
        <sz val="10"/>
        <rFont val="Calibri"/>
        <family val="2"/>
      </rPr>
      <t>·K</t>
    </r>
    <r>
      <rPr>
        <vertAlign val="subscript"/>
        <sz val="10"/>
        <rFont val="Calibri"/>
        <family val="2"/>
      </rPr>
      <t>BW</t>
    </r>
    <r>
      <rPr>
        <sz val="10"/>
        <rFont val="Calibri"/>
        <family val="2"/>
      </rPr>
      <t>]</t>
    </r>
  </si>
  <si>
    <r>
      <t>Partial derivative of k</t>
    </r>
    <r>
      <rPr>
        <vertAlign val="subscript"/>
        <sz val="10"/>
        <rFont val="Calibri"/>
        <family val="2"/>
      </rPr>
      <t>BM</t>
    </r>
    <r>
      <rPr>
        <sz val="10"/>
        <rFont val="Calibri"/>
        <family val="2"/>
      </rPr>
      <t xml:space="preserve"> with respect to C</t>
    </r>
    <r>
      <rPr>
        <vertAlign val="subscript"/>
        <sz val="10"/>
        <rFont val="Calibri"/>
        <family val="2"/>
      </rPr>
      <t>2</t>
    </r>
  </si>
  <si>
    <r>
      <t>ək</t>
    </r>
    <r>
      <rPr>
        <vertAlign val="subscript"/>
        <sz val="10"/>
        <rFont val="Calibri"/>
        <family val="2"/>
      </rPr>
      <t>BM</t>
    </r>
    <r>
      <rPr>
        <sz val="10"/>
        <rFont val="Calibri"/>
        <family val="2"/>
      </rPr>
      <t>/əC</t>
    </r>
    <r>
      <rPr>
        <vertAlign val="subscript"/>
        <sz val="10"/>
        <rFont val="Calibri"/>
        <family val="2"/>
      </rPr>
      <t>2</t>
    </r>
  </si>
  <si>
    <r>
      <t>Partial derivative of k</t>
    </r>
    <r>
      <rPr>
        <vertAlign val="subscript"/>
        <sz val="10"/>
        <rFont val="Calibri"/>
        <family val="2"/>
      </rPr>
      <t>BM</t>
    </r>
    <r>
      <rPr>
        <sz val="10"/>
        <rFont val="Calibri"/>
        <family val="2"/>
      </rPr>
      <t xml:space="preserve"> with respect to C</t>
    </r>
    <r>
      <rPr>
        <vertAlign val="subscript"/>
        <sz val="10"/>
        <rFont val="Calibri"/>
        <family val="2"/>
      </rPr>
      <t>3</t>
    </r>
  </si>
  <si>
    <r>
      <t>ək</t>
    </r>
    <r>
      <rPr>
        <vertAlign val="subscript"/>
        <sz val="10"/>
        <rFont val="Calibri"/>
        <family val="2"/>
      </rPr>
      <t>BM</t>
    </r>
    <r>
      <rPr>
        <sz val="10"/>
        <rFont val="Calibri"/>
        <family val="2"/>
      </rPr>
      <t>/əC</t>
    </r>
    <r>
      <rPr>
        <vertAlign val="subscript"/>
        <sz val="10"/>
        <rFont val="Calibri"/>
        <family val="2"/>
      </rPr>
      <t>3</t>
    </r>
  </si>
  <si>
    <r>
      <t>ək</t>
    </r>
    <r>
      <rPr>
        <vertAlign val="subscript"/>
        <sz val="10"/>
        <rFont val="Calibri"/>
        <family val="2"/>
      </rPr>
      <t>BM</t>
    </r>
    <r>
      <rPr>
        <sz val="10"/>
        <rFont val="Calibri"/>
        <family val="2"/>
      </rPr>
      <t>/əC</t>
    </r>
    <r>
      <rPr>
        <vertAlign val="subscript"/>
        <sz val="10"/>
        <rFont val="Calibri"/>
        <family val="2"/>
      </rPr>
      <t>3</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·ln(W</t>
    </r>
    <r>
      <rPr>
        <vertAlign val="subscript"/>
        <sz val="10"/>
        <rFont val="Calibri"/>
        <family val="2"/>
      </rPr>
      <t>B</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sz val="10"/>
        <rFont val="Calibri"/>
        <family val="2"/>
      </rPr>
      <t>·K</t>
    </r>
    <r>
      <rPr>
        <vertAlign val="subscript"/>
        <sz val="10"/>
        <rFont val="Calibri"/>
        <family val="2"/>
      </rPr>
      <t>BW</t>
    </r>
    <r>
      <rPr>
        <sz val="10"/>
        <rFont val="Calibri"/>
        <family val="2"/>
      </rPr>
      <t>]</t>
    </r>
  </si>
  <si>
    <r>
      <t>Partial derivative of k</t>
    </r>
    <r>
      <rPr>
        <vertAlign val="subscript"/>
        <sz val="10"/>
        <rFont val="Calibri"/>
        <family val="2"/>
      </rPr>
      <t>BM</t>
    </r>
    <r>
      <rPr>
        <sz val="10"/>
        <rFont val="Calibri"/>
        <family val="2"/>
      </rPr>
      <t xml:space="preserve"> with respect to C</t>
    </r>
    <r>
      <rPr>
        <vertAlign val="subscript"/>
        <sz val="10"/>
        <rFont val="Calibri"/>
        <family val="2"/>
      </rPr>
      <t>4</t>
    </r>
  </si>
  <si>
    <r>
      <t>ək</t>
    </r>
    <r>
      <rPr>
        <vertAlign val="subscript"/>
        <sz val="10"/>
        <rFont val="Calibri"/>
        <family val="2"/>
      </rPr>
      <t>BM</t>
    </r>
    <r>
      <rPr>
        <sz val="10"/>
        <rFont val="Calibri"/>
        <family val="2"/>
      </rPr>
      <t>/əC</t>
    </r>
    <r>
      <rPr>
        <vertAlign val="subscript"/>
        <sz val="10"/>
        <rFont val="Calibri"/>
        <family val="2"/>
      </rPr>
      <t>4</t>
    </r>
  </si>
  <si>
    <r>
      <t>ək</t>
    </r>
    <r>
      <rPr>
        <vertAlign val="subscript"/>
        <sz val="10"/>
        <rFont val="Calibri"/>
        <family val="2"/>
      </rPr>
      <t>BM</t>
    </r>
    <r>
      <rPr>
        <sz val="10"/>
        <rFont val="Calibri"/>
        <family val="2"/>
      </rPr>
      <t>/əC</t>
    </r>
    <r>
      <rPr>
        <vertAlign val="subscript"/>
        <sz val="10"/>
        <rFont val="Calibri"/>
        <family val="2"/>
      </rPr>
      <t>4</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·10</t>
    </r>
    <r>
      <rPr>
        <vertAlign val="superscript"/>
        <sz val="10"/>
        <rFont val="Calibri"/>
        <family val="2"/>
      </rPr>
      <t>C4</t>
    </r>
    <r>
      <rPr>
        <sz val="10"/>
        <rFont val="Calibri"/>
        <family val="2"/>
      </rPr>
      <t>·ln(10)/[(C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sz val="10"/>
        <rFont val="Calibri"/>
        <family val="2"/>
      </rPr>
      <t>·K</t>
    </r>
    <r>
      <rPr>
        <vertAlign val="subscript"/>
        <sz val="10"/>
        <rFont val="Calibri"/>
        <family val="2"/>
      </rPr>
      <t>BW</t>
    </r>
    <r>
      <rPr>
        <sz val="10"/>
        <rFont val="Calibri"/>
        <family val="2"/>
      </rPr>
      <t>]</t>
    </r>
  </si>
  <si>
    <r>
      <t>Partial derivative of k</t>
    </r>
    <r>
      <rPr>
        <vertAlign val="subscript"/>
        <sz val="10"/>
        <rFont val="Calibri"/>
        <family val="2"/>
      </rPr>
      <t>BM</t>
    </r>
    <r>
      <rPr>
        <sz val="10"/>
        <rFont val="Calibri"/>
        <family val="2"/>
      </rPr>
      <t xml:space="preserve"> with respect to b</t>
    </r>
    <r>
      <rPr>
        <vertAlign val="subscript"/>
        <sz val="10"/>
        <rFont val="Calibri"/>
        <family val="2"/>
      </rPr>
      <t>0</t>
    </r>
  </si>
  <si>
    <r>
      <t>ək</t>
    </r>
    <r>
      <rPr>
        <vertAlign val="subscript"/>
        <sz val="10"/>
        <rFont val="Calibri"/>
        <family val="2"/>
      </rPr>
      <t>BM</t>
    </r>
    <r>
      <rPr>
        <sz val="10"/>
        <rFont val="Calibri"/>
        <family val="2"/>
      </rPr>
      <t>/əb</t>
    </r>
    <r>
      <rPr>
        <vertAlign val="subscript"/>
        <sz val="10"/>
        <rFont val="Calibri"/>
        <family val="2"/>
      </rPr>
      <t>0</t>
    </r>
  </si>
  <si>
    <r>
      <t>Partial derivative of k</t>
    </r>
    <r>
      <rPr>
        <vertAlign val="subscript"/>
        <sz val="10"/>
        <rFont val="Calibri"/>
        <family val="2"/>
      </rPr>
      <t>BM</t>
    </r>
    <r>
      <rPr>
        <sz val="10"/>
        <rFont val="Calibri"/>
        <family val="2"/>
      </rPr>
      <t xml:space="preserve"> with respect to b</t>
    </r>
    <r>
      <rPr>
        <vertAlign val="subscript"/>
        <sz val="10"/>
        <rFont val="Calibri"/>
        <family val="2"/>
      </rPr>
      <t>1</t>
    </r>
  </si>
  <si>
    <r>
      <t>ək</t>
    </r>
    <r>
      <rPr>
        <vertAlign val="subscript"/>
        <sz val="10"/>
        <rFont val="Calibri"/>
        <family val="2"/>
      </rPr>
      <t>BM</t>
    </r>
    <r>
      <rPr>
        <sz val="10"/>
        <rFont val="Calibri"/>
        <family val="2"/>
      </rPr>
      <t>/əb</t>
    </r>
    <r>
      <rPr>
        <vertAlign val="subscript"/>
        <sz val="10"/>
        <rFont val="Calibri"/>
        <family val="2"/>
      </rPr>
      <t>1</t>
    </r>
  </si>
  <si>
    <r>
      <t>Partial derivative of BMF with respect to C</t>
    </r>
    <r>
      <rPr>
        <vertAlign val="subscript"/>
        <sz val="10"/>
        <rFont val="Calibri"/>
        <family val="2"/>
      </rPr>
      <t>D</t>
    </r>
  </si>
  <si>
    <r>
      <t>əBMF/əC</t>
    </r>
    <r>
      <rPr>
        <vertAlign val="subscript"/>
        <sz val="10"/>
        <rFont val="Calibri"/>
        <family val="2"/>
      </rPr>
      <t>D</t>
    </r>
  </si>
  <si>
    <r>
      <t>əBMF/əC</t>
    </r>
    <r>
      <rPr>
        <vertAlign val="subscript"/>
        <sz val="10"/>
        <rFont val="Calibri"/>
        <family val="2"/>
      </rPr>
      <t>D</t>
    </r>
    <r>
      <rPr>
        <sz val="10"/>
        <rFont val="Calibri"/>
        <family val="2"/>
      </rPr>
      <t xml:space="preserve"> = -e</t>
    </r>
    <r>
      <rPr>
        <vertAlign val="superscript"/>
        <sz val="10"/>
        <rFont val="Calibri"/>
        <family val="2"/>
      </rPr>
      <t>b0</t>
    </r>
    <r>
      <rPr>
        <sz val="10"/>
        <rFont val="Calibri"/>
        <family val="2"/>
      </rPr>
      <t>/[C</t>
    </r>
    <r>
      <rPr>
        <vertAlign val="subscript"/>
        <sz val="10"/>
        <rFont val="Calibri"/>
        <family val="2"/>
      </rPr>
      <t>D</t>
    </r>
    <r>
      <rPr>
        <vertAlign val="superscript"/>
        <sz val="10"/>
        <rFont val="Calibri"/>
        <family val="2"/>
      </rPr>
      <t>2</t>
    </r>
    <r>
      <rPr>
        <sz val="10"/>
        <rFont val="Calibri"/>
        <family val="2"/>
      </rPr>
      <t>·(1-e</t>
    </r>
    <r>
      <rPr>
        <vertAlign val="superscript"/>
        <sz val="10"/>
        <rFont val="Calibri"/>
        <family val="2"/>
      </rPr>
      <t>b1·tu</t>
    </r>
    <r>
      <rPr>
        <sz val="10"/>
        <rFont val="Calibri"/>
        <family val="2"/>
      </rPr>
      <t>)]</t>
    </r>
  </si>
  <si>
    <r>
      <t>əBMF/əb</t>
    </r>
    <r>
      <rPr>
        <vertAlign val="subscript"/>
        <sz val="10"/>
        <rFont val="Calibri"/>
        <family val="2"/>
      </rPr>
      <t>0</t>
    </r>
  </si>
  <si>
    <r>
      <t>əBMF/əb</t>
    </r>
    <r>
      <rPr>
        <vertAlign val="subscript"/>
        <sz val="10"/>
        <rFont val="Calibri"/>
        <family val="2"/>
      </rPr>
      <t>0</t>
    </r>
    <r>
      <rPr>
        <sz val="10"/>
        <rFont val="Calibri"/>
        <family val="2"/>
      </rPr>
      <t xml:space="preserve"> = e</t>
    </r>
    <r>
      <rPr>
        <vertAlign val="superscript"/>
        <sz val="10"/>
        <rFont val="Calibri"/>
        <family val="2"/>
      </rPr>
      <t>b0</t>
    </r>
    <r>
      <rPr>
        <sz val="10"/>
        <rFont val="Calibri"/>
        <family val="2"/>
      </rPr>
      <t>/[C</t>
    </r>
    <r>
      <rPr>
        <vertAlign val="subscript"/>
        <sz val="10"/>
        <rFont val="Calibri"/>
        <family val="2"/>
      </rPr>
      <t>D</t>
    </r>
    <r>
      <rPr>
        <sz val="10"/>
        <rFont val="Calibri"/>
        <family val="2"/>
      </rPr>
      <t>·(1-e</t>
    </r>
    <r>
      <rPr>
        <vertAlign val="superscript"/>
        <sz val="10"/>
        <rFont val="Calibri"/>
        <family val="2"/>
      </rPr>
      <t>b1·tu</t>
    </r>
    <r>
      <rPr>
        <sz val="10"/>
        <rFont val="Calibri"/>
        <family val="2"/>
      </rPr>
      <t>)]</t>
    </r>
  </si>
  <si>
    <r>
      <t>əBMF/əb</t>
    </r>
    <r>
      <rPr>
        <vertAlign val="subscript"/>
        <sz val="10"/>
        <rFont val="Calibri"/>
        <family val="2"/>
      </rPr>
      <t>1</t>
    </r>
    <r>
      <rPr>
        <sz val="10"/>
        <rFont val="Calibri"/>
        <family val="2"/>
      </rPr>
      <t xml:space="preserve"> = e</t>
    </r>
    <r>
      <rPr>
        <vertAlign val="superscript"/>
        <sz val="10"/>
        <rFont val="Calibri"/>
        <family val="2"/>
      </rPr>
      <t>b0</t>
    </r>
    <r>
      <rPr>
        <sz val="10"/>
        <rFont val="Calibri"/>
        <family val="2"/>
      </rPr>
      <t>·t</t>
    </r>
    <r>
      <rPr>
        <vertAlign val="subscript"/>
        <sz val="10"/>
        <rFont val="Calibri"/>
        <family val="2"/>
      </rPr>
      <t>u</t>
    </r>
    <r>
      <rPr>
        <sz val="10"/>
        <rFont val="Calibri"/>
        <family val="2"/>
      </rPr>
      <t>·e</t>
    </r>
    <r>
      <rPr>
        <vertAlign val="superscript"/>
        <sz val="10"/>
        <rFont val="Calibri"/>
        <family val="2"/>
      </rPr>
      <t>b1·tu</t>
    </r>
    <r>
      <rPr>
        <sz val="10"/>
        <rFont val="Calibri"/>
        <family val="2"/>
      </rPr>
      <t>/[C</t>
    </r>
    <r>
      <rPr>
        <vertAlign val="subscript"/>
        <sz val="10"/>
        <rFont val="Calibri"/>
        <family val="2"/>
      </rPr>
      <t>D</t>
    </r>
    <r>
      <rPr>
        <sz val="10"/>
        <rFont val="Calibri"/>
        <family val="2"/>
      </rPr>
      <t>·(1-e</t>
    </r>
    <r>
      <rPr>
        <vertAlign val="superscript"/>
        <sz val="10"/>
        <rFont val="Calibri"/>
        <family val="2"/>
      </rPr>
      <t>b1·tu</t>
    </r>
    <r>
      <rPr>
        <sz val="10"/>
        <rFont val="Calibri"/>
        <family val="2"/>
      </rPr>
      <t>)</t>
    </r>
    <r>
      <rPr>
        <vertAlign val="superscript"/>
        <sz val="10"/>
        <rFont val="Calibri"/>
        <family val="2"/>
      </rPr>
      <t>2</t>
    </r>
    <r>
      <rPr>
        <sz val="10"/>
        <rFont val="Calibri"/>
        <family val="2"/>
      </rPr>
      <t>]</t>
    </r>
  </si>
  <si>
    <r>
      <t>əBAF</t>
    </r>
    <r>
      <rPr>
        <vertAlign val="subscript"/>
        <sz val="10"/>
        <rFont val="Calibri"/>
        <family val="2"/>
      </rPr>
      <t>ww,t</t>
    </r>
    <r>
      <rPr>
        <sz val="10"/>
        <rFont val="Calibri"/>
        <family val="2"/>
      </rPr>
      <t>/əC</t>
    </r>
    <r>
      <rPr>
        <vertAlign val="subscript"/>
        <sz val="10"/>
        <rFont val="Calibri"/>
        <family val="2"/>
      </rPr>
      <t>D</t>
    </r>
    <r>
      <rPr>
        <sz val="10"/>
        <rFont val="Calibri"/>
        <family val="2"/>
      </rPr>
      <t xml:space="preserve"> = -e</t>
    </r>
    <r>
      <rPr>
        <vertAlign val="superscript"/>
        <sz val="10"/>
        <rFont val="Calibri"/>
        <family val="2"/>
      </rPr>
      <t>b0</t>
    </r>
    <r>
      <rPr>
        <sz val="10"/>
        <rFont val="Calibri"/>
        <family val="2"/>
      </rPr>
      <t>·C</t>
    </r>
    <r>
      <rPr>
        <vertAlign val="subscript"/>
        <sz val="10"/>
        <rFont val="Calibri"/>
        <family val="2"/>
      </rPr>
      <t>D,field</t>
    </r>
    <r>
      <rPr>
        <sz val="10"/>
        <rFont val="Calibri"/>
        <family val="2"/>
      </rPr>
      <t>/[C</t>
    </r>
    <r>
      <rPr>
        <vertAlign val="subscript"/>
        <sz val="10"/>
        <rFont val="Calibri"/>
        <family val="2"/>
      </rPr>
      <t>D</t>
    </r>
    <r>
      <rPr>
        <vertAlign val="superscript"/>
        <sz val="10"/>
        <rFont val="Calibri"/>
        <family val="2"/>
      </rPr>
      <t>2</t>
    </r>
    <r>
      <rPr>
        <sz val="10"/>
        <rFont val="Calibri"/>
        <family val="2"/>
      </rPr>
      <t>·C</t>
    </r>
    <r>
      <rPr>
        <vertAlign val="subscript"/>
        <sz val="10"/>
        <rFont val="Calibri"/>
        <family val="2"/>
      </rPr>
      <t>WD,field</t>
    </r>
    <r>
      <rPr>
        <sz val="10"/>
        <rFont val="Calibri"/>
        <family val="2"/>
      </rPr>
      <t>·(1-e</t>
    </r>
    <r>
      <rPr>
        <vertAlign val="superscript"/>
        <sz val="10"/>
        <rFont val="Calibri"/>
        <family val="2"/>
      </rPr>
      <t>b1·tu</t>
    </r>
    <r>
      <rPr>
        <sz val="10"/>
        <rFont val="Calibri"/>
        <family val="2"/>
      </rPr>
      <t>)·(1+C</t>
    </r>
    <r>
      <rPr>
        <vertAlign val="subscript"/>
        <sz val="10"/>
        <rFont val="Calibri"/>
        <family val="2"/>
      </rPr>
      <t>OC</t>
    </r>
    <r>
      <rPr>
        <sz val="10"/>
        <rFont val="Calibri"/>
        <family val="2"/>
      </rPr>
      <t>·K</t>
    </r>
    <r>
      <rPr>
        <vertAlign val="subscript"/>
        <sz val="10"/>
        <rFont val="Calibri"/>
        <family val="2"/>
      </rPr>
      <t>OC</t>
    </r>
    <r>
      <rPr>
        <sz val="10"/>
        <rFont val="Calibri"/>
        <family val="2"/>
      </rPr>
      <t>)]</t>
    </r>
  </si>
  <si>
    <r>
      <t>əBAF</t>
    </r>
    <r>
      <rPr>
        <vertAlign val="subscript"/>
        <sz val="10"/>
        <rFont val="Calibri"/>
        <family val="2"/>
      </rPr>
      <t>ww,t</t>
    </r>
    <r>
      <rPr>
        <sz val="10"/>
        <rFont val="Calibri"/>
        <family val="2"/>
      </rPr>
      <t>/əb</t>
    </r>
    <r>
      <rPr>
        <vertAlign val="subscript"/>
        <sz val="10"/>
        <rFont val="Calibri"/>
        <family val="2"/>
      </rPr>
      <t>0</t>
    </r>
    <r>
      <rPr>
        <sz val="10"/>
        <rFont val="Calibri"/>
        <family val="2"/>
      </rPr>
      <t xml:space="preserve"> = e</t>
    </r>
    <r>
      <rPr>
        <vertAlign val="superscript"/>
        <sz val="10"/>
        <rFont val="Calibri"/>
        <family val="2"/>
      </rPr>
      <t>b0</t>
    </r>
    <r>
      <rPr>
        <sz val="10"/>
        <rFont val="Calibri"/>
        <family val="2"/>
      </rPr>
      <t>·C</t>
    </r>
    <r>
      <rPr>
        <vertAlign val="subscript"/>
        <sz val="10"/>
        <rFont val="Calibri"/>
        <family val="2"/>
      </rPr>
      <t>D,field</t>
    </r>
    <r>
      <rPr>
        <sz val="10"/>
        <rFont val="Calibri"/>
        <family val="2"/>
      </rPr>
      <t>/[C</t>
    </r>
    <r>
      <rPr>
        <vertAlign val="subscript"/>
        <sz val="10"/>
        <rFont val="Calibri"/>
        <family val="2"/>
      </rPr>
      <t>D</t>
    </r>
    <r>
      <rPr>
        <sz val="10"/>
        <rFont val="Calibri"/>
        <family val="2"/>
      </rPr>
      <t>·C</t>
    </r>
    <r>
      <rPr>
        <vertAlign val="subscript"/>
        <sz val="10"/>
        <rFont val="Calibri"/>
        <family val="2"/>
      </rPr>
      <t>WD,field</t>
    </r>
    <r>
      <rPr>
        <sz val="10"/>
        <rFont val="Calibri"/>
        <family val="2"/>
      </rPr>
      <t>·(1-e</t>
    </r>
    <r>
      <rPr>
        <vertAlign val="superscript"/>
        <sz val="10"/>
        <rFont val="Calibri"/>
        <family val="2"/>
      </rPr>
      <t>b1·tu</t>
    </r>
    <r>
      <rPr>
        <sz val="10"/>
        <rFont val="Calibri"/>
        <family val="2"/>
      </rPr>
      <t>)·(1+C</t>
    </r>
    <r>
      <rPr>
        <vertAlign val="subscript"/>
        <sz val="10"/>
        <rFont val="Calibri"/>
        <family val="2"/>
      </rPr>
      <t>OC</t>
    </r>
    <r>
      <rPr>
        <sz val="10"/>
        <rFont val="Calibri"/>
        <family val="2"/>
      </rPr>
      <t>·K</t>
    </r>
    <r>
      <rPr>
        <vertAlign val="subscript"/>
        <sz val="10"/>
        <rFont val="Calibri"/>
        <family val="2"/>
      </rPr>
      <t>OC</t>
    </r>
    <r>
      <rPr>
        <sz val="10"/>
        <rFont val="Calibri"/>
        <family val="2"/>
      </rPr>
      <t>)]</t>
    </r>
  </si>
  <si>
    <r>
      <t>əBAF</t>
    </r>
    <r>
      <rPr>
        <vertAlign val="subscript"/>
        <sz val="10"/>
        <rFont val="Calibri"/>
        <family val="2"/>
      </rPr>
      <t>ww,t</t>
    </r>
    <r>
      <rPr>
        <sz val="10"/>
        <rFont val="Calibri"/>
        <family val="2"/>
      </rPr>
      <t>/əb</t>
    </r>
    <r>
      <rPr>
        <vertAlign val="subscript"/>
        <sz val="10"/>
        <rFont val="Calibri"/>
        <family val="2"/>
      </rPr>
      <t>1</t>
    </r>
    <r>
      <rPr>
        <sz val="10"/>
        <rFont val="Calibri"/>
        <family val="2"/>
      </rPr>
      <t xml:space="preserve"> = [C</t>
    </r>
    <r>
      <rPr>
        <vertAlign val="subscript"/>
        <sz val="10"/>
        <rFont val="Calibri"/>
        <family val="2"/>
      </rPr>
      <t>D,field</t>
    </r>
    <r>
      <rPr>
        <sz val="10"/>
        <rFont val="Calibri"/>
        <family val="2"/>
      </rPr>
      <t>·e</t>
    </r>
    <r>
      <rPr>
        <vertAlign val="superscript"/>
        <sz val="10"/>
        <rFont val="Calibri"/>
        <family val="2"/>
      </rPr>
      <t>b0</t>
    </r>
    <r>
      <rPr>
        <sz val="10"/>
        <rFont val="Calibri"/>
        <family val="2"/>
      </rPr>
      <t>·t</t>
    </r>
    <r>
      <rPr>
        <vertAlign val="subscript"/>
        <sz val="10"/>
        <rFont val="Calibri"/>
        <family val="2"/>
      </rPr>
      <t>u</t>
    </r>
    <r>
      <rPr>
        <sz val="10"/>
        <rFont val="Calibri"/>
        <family val="2"/>
      </rPr>
      <t>·b</t>
    </r>
    <r>
      <rPr>
        <vertAlign val="subscript"/>
        <sz val="10"/>
        <rFont val="Calibri"/>
        <family val="2"/>
      </rPr>
      <t>1</t>
    </r>
    <r>
      <rPr>
        <vertAlign val="superscript"/>
        <sz val="10"/>
        <rFont val="Calibri"/>
        <family val="2"/>
      </rPr>
      <t>2</t>
    </r>
    <r>
      <rPr>
        <sz val="10"/>
        <rFont val="Calibri"/>
        <family val="2"/>
      </rPr>
      <t>·e</t>
    </r>
    <r>
      <rPr>
        <vertAlign val="superscript"/>
        <sz val="10"/>
        <rFont val="Calibri"/>
        <family val="2"/>
      </rPr>
      <t>b1·tu</t>
    </r>
    <r>
      <rPr>
        <sz val="10"/>
        <rFont val="Calibri"/>
        <family val="2"/>
      </rPr>
      <t>+C</t>
    </r>
    <r>
      <rPr>
        <vertAlign val="subscript"/>
        <sz val="10"/>
        <rFont val="Calibri"/>
        <family val="2"/>
      </rPr>
      <t>D</t>
    </r>
    <r>
      <rPr>
        <sz val="10"/>
        <rFont val="Calibri"/>
        <family val="2"/>
      </rPr>
      <t>·C</t>
    </r>
    <r>
      <rPr>
        <vertAlign val="subscript"/>
        <sz val="10"/>
        <rFont val="Calibri"/>
        <family val="2"/>
      </rPr>
      <t>WD,field</t>
    </r>
    <r>
      <rPr>
        <sz val="10"/>
        <rFont val="Calibri"/>
        <family val="2"/>
      </rPr>
      <t>·k</t>
    </r>
    <r>
      <rPr>
        <vertAlign val="subscript"/>
        <sz val="10"/>
        <rFont val="Calibri"/>
        <family val="2"/>
      </rPr>
      <t>B1</t>
    </r>
    <r>
      <rPr>
        <sz val="10"/>
        <rFont val="Calibri"/>
        <family val="2"/>
      </rPr>
      <t>·(e</t>
    </r>
    <r>
      <rPr>
        <vertAlign val="superscript"/>
        <sz val="10"/>
        <rFont val="Calibri"/>
        <family val="2"/>
      </rPr>
      <t>2·b1·tu</t>
    </r>
    <r>
      <rPr>
        <sz val="10"/>
        <rFont val="Calibri"/>
        <family val="2"/>
      </rPr>
      <t>-2·e</t>
    </r>
    <r>
      <rPr>
        <vertAlign val="superscript"/>
        <sz val="10"/>
        <rFont val="Calibri"/>
        <family val="2"/>
      </rPr>
      <t>b1·tu</t>
    </r>
    <r>
      <rPr>
        <sz val="10"/>
        <rFont val="Calibri"/>
        <family val="2"/>
      </rPr>
      <t>+1)]/[C</t>
    </r>
    <r>
      <rPr>
        <vertAlign val="subscript"/>
        <sz val="10"/>
        <rFont val="Calibri"/>
        <family val="2"/>
      </rPr>
      <t>D</t>
    </r>
    <r>
      <rPr>
        <sz val="10"/>
        <rFont val="Calibri"/>
        <family val="2"/>
      </rPr>
      <t>·C</t>
    </r>
    <r>
      <rPr>
        <vertAlign val="subscript"/>
        <sz val="10"/>
        <rFont val="Calibri"/>
        <family val="2"/>
      </rPr>
      <t>WD,field</t>
    </r>
    <r>
      <rPr>
        <sz val="10"/>
        <rFont val="Calibri"/>
        <family val="2"/>
      </rPr>
      <t>·(1+C</t>
    </r>
    <r>
      <rPr>
        <vertAlign val="subscript"/>
        <sz val="10"/>
        <rFont val="Calibri"/>
        <family val="2"/>
      </rPr>
      <t>OC</t>
    </r>
    <r>
      <rPr>
        <sz val="10"/>
        <rFont val="Calibri"/>
        <family val="2"/>
      </rPr>
      <t>·K</t>
    </r>
    <r>
      <rPr>
        <vertAlign val="subscript"/>
        <sz val="10"/>
        <rFont val="Calibri"/>
        <family val="2"/>
      </rPr>
      <t>OC</t>
    </r>
    <r>
      <rPr>
        <sz val="10"/>
        <rFont val="Calibri"/>
        <family val="2"/>
      </rPr>
      <t>)·b</t>
    </r>
    <r>
      <rPr>
        <vertAlign val="subscript"/>
        <sz val="10"/>
        <rFont val="Calibri"/>
        <family val="2"/>
      </rPr>
      <t>1</t>
    </r>
    <r>
      <rPr>
        <vertAlign val="superscript"/>
        <sz val="10"/>
        <rFont val="Calibri"/>
        <family val="2"/>
      </rPr>
      <t>2</t>
    </r>
    <r>
      <rPr>
        <sz val="10"/>
        <rFont val="Calibri"/>
        <family val="2"/>
      </rPr>
      <t>·(1-e</t>
    </r>
    <r>
      <rPr>
        <vertAlign val="superscript"/>
        <sz val="10"/>
        <rFont val="Calibri"/>
        <family val="2"/>
      </rPr>
      <t>b1·tu</t>
    </r>
    <r>
      <rPr>
        <sz val="10"/>
        <rFont val="Calibri"/>
        <family val="2"/>
      </rPr>
      <t>)</t>
    </r>
    <r>
      <rPr>
        <vertAlign val="superscript"/>
        <sz val="10"/>
        <rFont val="Calibri"/>
        <family val="2"/>
      </rPr>
      <t>2</t>
    </r>
    <r>
      <rPr>
        <sz val="10"/>
        <rFont val="Calibri"/>
        <family val="2"/>
      </rPr>
      <t>]</t>
    </r>
  </si>
  <si>
    <r>
      <t>Standard error of k</t>
    </r>
    <r>
      <rPr>
        <vertAlign val="subscript"/>
        <sz val="10"/>
        <rFont val="Calibri"/>
        <family val="2"/>
      </rPr>
      <t>D</t>
    </r>
  </si>
  <si>
    <r>
      <t>SE(k</t>
    </r>
    <r>
      <rPr>
        <vertAlign val="subscript"/>
        <sz val="10"/>
        <rFont val="Calibri"/>
        <family val="2"/>
      </rPr>
      <t>D</t>
    </r>
    <r>
      <rPr>
        <sz val="10"/>
        <rFont val="Calibri"/>
        <family val="2"/>
      </rPr>
      <t>)</t>
    </r>
  </si>
  <si>
    <r>
      <t>Standard error of k</t>
    </r>
    <r>
      <rPr>
        <vertAlign val="subscript"/>
        <sz val="10"/>
        <rFont val="Calibri"/>
        <family val="2"/>
      </rPr>
      <t>BT</t>
    </r>
  </si>
  <si>
    <r>
      <t>SE(k</t>
    </r>
    <r>
      <rPr>
        <vertAlign val="subscript"/>
        <sz val="10"/>
        <rFont val="Calibri"/>
        <family val="2"/>
      </rPr>
      <t>BT</t>
    </r>
    <r>
      <rPr>
        <sz val="10"/>
        <rFont val="Calibri"/>
        <family val="2"/>
      </rPr>
      <t>)</t>
    </r>
  </si>
  <si>
    <r>
      <t>SE(k</t>
    </r>
    <r>
      <rPr>
        <vertAlign val="subscript"/>
        <sz val="10"/>
        <rFont val="Calibri"/>
        <family val="2"/>
      </rPr>
      <t>BT</t>
    </r>
    <r>
      <rPr>
        <sz val="10"/>
        <rFont val="Calibri"/>
        <family val="2"/>
      </rPr>
      <t>) = SE(b</t>
    </r>
    <r>
      <rPr>
        <vertAlign val="subscript"/>
        <sz val="10"/>
        <rFont val="Calibri"/>
        <family val="2"/>
      </rPr>
      <t>1</t>
    </r>
    <r>
      <rPr>
        <sz val="10"/>
        <rFont val="Calibri"/>
        <family val="2"/>
      </rPr>
      <t>)</t>
    </r>
  </si>
  <si>
    <r>
      <t>Standard error of k</t>
    </r>
    <r>
      <rPr>
        <vertAlign val="subscript"/>
        <sz val="10"/>
        <rFont val="Calibri"/>
        <family val="2"/>
      </rPr>
      <t>GE</t>
    </r>
  </si>
  <si>
    <r>
      <t>SE(k</t>
    </r>
    <r>
      <rPr>
        <vertAlign val="subscript"/>
        <sz val="10"/>
        <rFont val="Calibri"/>
        <family val="2"/>
      </rPr>
      <t>GE</t>
    </r>
    <r>
      <rPr>
        <sz val="10"/>
        <rFont val="Calibri"/>
        <family val="2"/>
      </rPr>
      <t>)</t>
    </r>
  </si>
  <si>
    <r>
      <t>SE(k</t>
    </r>
    <r>
      <rPr>
        <vertAlign val="subscript"/>
        <sz val="10"/>
        <rFont val="Calibri"/>
        <family val="2"/>
      </rPr>
      <t>GE</t>
    </r>
    <r>
      <rPr>
        <sz val="10"/>
        <rFont val="Calibri"/>
        <family val="2"/>
      </rPr>
      <t>) = 0</t>
    </r>
  </si>
  <si>
    <r>
      <t>Standard error of k</t>
    </r>
    <r>
      <rPr>
        <vertAlign val="subscript"/>
        <sz val="10"/>
        <rFont val="Calibri"/>
        <family val="2"/>
      </rPr>
      <t>GM</t>
    </r>
  </si>
  <si>
    <r>
      <t>SE(k</t>
    </r>
    <r>
      <rPr>
        <vertAlign val="subscript"/>
        <sz val="10"/>
        <rFont val="Calibri"/>
        <family val="2"/>
      </rPr>
      <t>GM</t>
    </r>
    <r>
      <rPr>
        <sz val="10"/>
        <rFont val="Calibri"/>
        <family val="2"/>
      </rPr>
      <t>)</t>
    </r>
  </si>
  <si>
    <r>
      <t>Standard error of BMF</t>
    </r>
    <r>
      <rPr>
        <vertAlign val="subscript"/>
        <sz val="10"/>
        <rFont val="Calibri"/>
        <family val="2"/>
      </rPr>
      <t>L</t>
    </r>
  </si>
  <si>
    <r>
      <t>SE(BMF</t>
    </r>
    <r>
      <rPr>
        <vertAlign val="subscript"/>
        <sz val="10"/>
        <rFont val="Calibri"/>
        <family val="2"/>
      </rPr>
      <t>L</t>
    </r>
    <r>
      <rPr>
        <sz val="10"/>
        <rFont val="Calibri"/>
        <family val="2"/>
      </rPr>
      <t>)</t>
    </r>
  </si>
  <si>
    <r>
      <t>SE(BMF</t>
    </r>
    <r>
      <rPr>
        <vertAlign val="subscript"/>
        <sz val="10"/>
        <rFont val="Calibri"/>
        <family val="2"/>
      </rPr>
      <t>L</t>
    </r>
    <r>
      <rPr>
        <sz val="10"/>
        <rFont val="Calibri"/>
        <family val="2"/>
      </rPr>
      <t>) =SE(BMF)·L</t>
    </r>
    <r>
      <rPr>
        <vertAlign val="subscript"/>
        <sz val="10"/>
        <rFont val="Calibri"/>
        <family val="2"/>
      </rPr>
      <t>D</t>
    </r>
    <r>
      <rPr>
        <sz val="10"/>
        <rFont val="Calibri"/>
        <family val="2"/>
      </rPr>
      <t>/L</t>
    </r>
    <r>
      <rPr>
        <vertAlign val="subscript"/>
        <sz val="10"/>
        <rFont val="Calibri"/>
        <family val="2"/>
      </rPr>
      <t>B</t>
    </r>
  </si>
  <si>
    <r>
      <t>Standard error of BCF</t>
    </r>
    <r>
      <rPr>
        <vertAlign val="subscript"/>
        <sz val="10"/>
        <rFont val="Calibri"/>
        <family val="2"/>
      </rPr>
      <t>ww,t</t>
    </r>
  </si>
  <si>
    <r>
      <t>SE(BCF</t>
    </r>
    <r>
      <rPr>
        <vertAlign val="subscript"/>
        <sz val="10"/>
        <rFont val="Calibri"/>
        <family val="2"/>
      </rPr>
      <t>ww,t</t>
    </r>
    <r>
      <rPr>
        <sz val="10"/>
        <rFont val="Calibri"/>
        <family val="2"/>
      </rPr>
      <t>)</t>
    </r>
  </si>
  <si>
    <r>
      <t>Standard error of BCF</t>
    </r>
    <r>
      <rPr>
        <vertAlign val="subscript"/>
        <sz val="10"/>
        <rFont val="Calibri"/>
        <family val="2"/>
      </rPr>
      <t>L,t</t>
    </r>
  </si>
  <si>
    <r>
      <t>SE(BCF</t>
    </r>
    <r>
      <rPr>
        <vertAlign val="subscript"/>
        <sz val="10"/>
        <rFont val="Calibri"/>
        <family val="2"/>
      </rPr>
      <t>L,t</t>
    </r>
    <r>
      <rPr>
        <sz val="10"/>
        <rFont val="Calibri"/>
        <family val="2"/>
      </rPr>
      <t>)</t>
    </r>
  </si>
  <si>
    <r>
      <t>SE(BCF</t>
    </r>
    <r>
      <rPr>
        <vertAlign val="subscript"/>
        <sz val="10"/>
        <rFont val="Calibri"/>
        <family val="2"/>
      </rPr>
      <t>L,t</t>
    </r>
    <r>
      <rPr>
        <sz val="10"/>
        <rFont val="Calibri"/>
        <family val="2"/>
      </rPr>
      <t>) = SE(BCF</t>
    </r>
    <r>
      <rPr>
        <vertAlign val="subscript"/>
        <sz val="10"/>
        <rFont val="Calibri"/>
        <family val="2"/>
      </rPr>
      <t>ww,t</t>
    </r>
    <r>
      <rPr>
        <sz val="10"/>
        <rFont val="Calibri"/>
        <family val="2"/>
      </rPr>
      <t>)/L</t>
    </r>
    <r>
      <rPr>
        <vertAlign val="subscript"/>
        <sz val="10"/>
        <rFont val="Calibri"/>
        <family val="2"/>
      </rPr>
      <t>B</t>
    </r>
  </si>
  <si>
    <r>
      <t>Standard error of BCF</t>
    </r>
    <r>
      <rPr>
        <vertAlign val="subscript"/>
        <sz val="10"/>
        <rFont val="Calibri"/>
        <family val="2"/>
      </rPr>
      <t>5%,t</t>
    </r>
  </si>
  <si>
    <r>
      <t>SE(BCF</t>
    </r>
    <r>
      <rPr>
        <vertAlign val="subscript"/>
        <sz val="10"/>
        <rFont val="Calibri"/>
        <family val="2"/>
      </rPr>
      <t>5%,t</t>
    </r>
    <r>
      <rPr>
        <sz val="10"/>
        <rFont val="Calibri"/>
        <family val="2"/>
      </rPr>
      <t>)</t>
    </r>
  </si>
  <si>
    <r>
      <t>SE(BCF</t>
    </r>
    <r>
      <rPr>
        <vertAlign val="subscript"/>
        <sz val="10"/>
        <rFont val="Calibri"/>
        <family val="2"/>
      </rPr>
      <t>5%,t</t>
    </r>
    <r>
      <rPr>
        <sz val="10"/>
        <rFont val="Calibri"/>
        <family val="2"/>
      </rPr>
      <t>) = 0.05·SE(BCF</t>
    </r>
    <r>
      <rPr>
        <vertAlign val="subscript"/>
        <sz val="10"/>
        <rFont val="Calibri"/>
        <family val="2"/>
      </rPr>
      <t>L,t</t>
    </r>
    <r>
      <rPr>
        <sz val="10"/>
        <rFont val="Calibri"/>
        <family val="2"/>
      </rPr>
      <t>)</t>
    </r>
  </si>
  <si>
    <r>
      <t>t</t>
    </r>
    <r>
      <rPr>
        <vertAlign val="subscript"/>
        <sz val="10"/>
        <rFont val="Calibri"/>
        <family val="2"/>
      </rPr>
      <t>u</t>
    </r>
  </si>
  <si>
    <t>1,2,3,4,5,6,7,8-octahydrophenanthrene</t>
  </si>
  <si>
    <t>Duration of the exposure (uptake) period</t>
  </si>
  <si>
    <r>
      <t>BCF</t>
    </r>
    <r>
      <rPr>
        <vertAlign val="subscript"/>
        <sz val="10"/>
        <rFont val="Calibri"/>
        <family val="2"/>
      </rPr>
      <t>ww,t</t>
    </r>
    <r>
      <rPr>
        <sz val="10"/>
        <rFont val="Calibri"/>
        <family val="2"/>
      </rPr>
      <t xml:space="preserve"> = k</t>
    </r>
    <r>
      <rPr>
        <vertAlign val="subscript"/>
        <sz val="10"/>
        <rFont val="Calibri"/>
        <family val="2"/>
      </rPr>
      <t>B1</t>
    </r>
    <r>
      <rPr>
        <sz val="10"/>
        <rFont val="Calibri"/>
        <family val="2"/>
      </rPr>
      <t>/[k</t>
    </r>
    <r>
      <rPr>
        <vertAlign val="subscript"/>
        <sz val="10"/>
        <rFont val="Calibri"/>
        <family val="2"/>
      </rPr>
      <t>BT</t>
    </r>
    <r>
      <rPr>
        <sz val="10"/>
        <rFont val="Calibri"/>
        <family val="2"/>
      </rPr>
      <t>·(1+C</t>
    </r>
    <r>
      <rPr>
        <vertAlign val="subscript"/>
        <sz val="10"/>
        <rFont val="Calibri"/>
        <family val="2"/>
      </rPr>
      <t>OC</t>
    </r>
    <r>
      <rPr>
        <sz val="10"/>
        <rFont val="Calibri"/>
        <family val="2"/>
      </rPr>
      <t>·K</t>
    </r>
    <r>
      <rPr>
        <vertAlign val="subscript"/>
        <sz val="10"/>
        <rFont val="Calibri"/>
        <family val="2"/>
      </rPr>
      <t>OC</t>
    </r>
    <r>
      <rPr>
        <sz val="10"/>
        <rFont val="Calibri"/>
        <family val="2"/>
      </rPr>
      <t>)]</t>
    </r>
  </si>
  <si>
    <r>
      <t>Partial derivative of BCF</t>
    </r>
    <r>
      <rPr>
        <vertAlign val="subscript"/>
        <sz val="10"/>
        <rFont val="Calibri"/>
        <family val="2"/>
      </rPr>
      <t xml:space="preserve">ww,t </t>
    </r>
    <r>
      <rPr>
        <sz val="10"/>
        <rFont val="Calibri"/>
        <family val="2"/>
      </rPr>
      <t>with respect to W</t>
    </r>
    <r>
      <rPr>
        <vertAlign val="subscript"/>
        <sz val="10"/>
        <rFont val="Calibri"/>
        <family val="2"/>
      </rPr>
      <t>B</t>
    </r>
  </si>
  <si>
    <r>
      <t>Partial derivative of BCF</t>
    </r>
    <r>
      <rPr>
        <vertAlign val="subscript"/>
        <sz val="10"/>
        <rFont val="Calibri"/>
        <family val="2"/>
      </rPr>
      <t>ww,t</t>
    </r>
    <r>
      <rPr>
        <sz val="10"/>
        <rFont val="Calibri"/>
        <family val="2"/>
      </rPr>
      <t xml:space="preserve"> with respect to C</t>
    </r>
    <r>
      <rPr>
        <vertAlign val="subscript"/>
        <sz val="10"/>
        <rFont val="Calibri"/>
        <family val="2"/>
      </rPr>
      <t>OX</t>
    </r>
  </si>
  <si>
    <r>
      <t>Partial derivative of BCF</t>
    </r>
    <r>
      <rPr>
        <vertAlign val="subscript"/>
        <sz val="10"/>
        <rFont val="Calibri"/>
        <family val="2"/>
      </rPr>
      <t xml:space="preserve">ww,t </t>
    </r>
    <r>
      <rPr>
        <sz val="10"/>
        <rFont val="Calibri"/>
        <family val="2"/>
      </rPr>
      <t>with respect to b</t>
    </r>
    <r>
      <rPr>
        <vertAlign val="subscript"/>
        <sz val="10"/>
        <rFont val="Calibri"/>
        <family val="2"/>
      </rPr>
      <t>1</t>
    </r>
  </si>
  <si>
    <r>
      <t>Partial derivative of BCF</t>
    </r>
    <r>
      <rPr>
        <vertAlign val="subscript"/>
        <sz val="10"/>
        <rFont val="Calibri"/>
        <family val="2"/>
      </rPr>
      <t>ww,t</t>
    </r>
    <r>
      <rPr>
        <sz val="10"/>
        <rFont val="Calibri"/>
        <family val="2"/>
      </rPr>
      <t xml:space="preserve"> with respect to C</t>
    </r>
    <r>
      <rPr>
        <vertAlign val="subscript"/>
        <sz val="10"/>
        <rFont val="Calibri"/>
        <family val="2"/>
      </rPr>
      <t>1</t>
    </r>
  </si>
  <si>
    <r>
      <t>Partial derivative of BCF</t>
    </r>
    <r>
      <rPr>
        <vertAlign val="subscript"/>
        <sz val="10"/>
        <rFont val="Calibri"/>
        <family val="2"/>
      </rPr>
      <t>ww,t</t>
    </r>
    <r>
      <rPr>
        <sz val="10"/>
        <rFont val="Calibri"/>
        <family val="2"/>
      </rPr>
      <t xml:space="preserve"> with respect to C</t>
    </r>
    <r>
      <rPr>
        <vertAlign val="subscript"/>
        <sz val="10"/>
        <rFont val="Calibri"/>
        <family val="2"/>
      </rPr>
      <t>2</t>
    </r>
    <r>
      <rPr>
        <sz val="11"/>
        <color theme="1"/>
        <rFont val="Calibri"/>
        <family val="2"/>
        <scheme val="minor"/>
      </rPr>
      <t/>
    </r>
  </si>
  <si>
    <r>
      <t>Partial derivative of BCF</t>
    </r>
    <r>
      <rPr>
        <vertAlign val="subscript"/>
        <sz val="10"/>
        <rFont val="Calibri"/>
        <family val="2"/>
      </rPr>
      <t>ww,t</t>
    </r>
    <r>
      <rPr>
        <sz val="10"/>
        <rFont val="Calibri"/>
        <family val="2"/>
      </rPr>
      <t xml:space="preserve"> with respect to C</t>
    </r>
    <r>
      <rPr>
        <vertAlign val="subscript"/>
        <sz val="10"/>
        <rFont val="Calibri"/>
        <family val="2"/>
      </rPr>
      <t>3</t>
    </r>
    <r>
      <rPr>
        <sz val="11"/>
        <color theme="1"/>
        <rFont val="Calibri"/>
        <family val="2"/>
        <scheme val="minor"/>
      </rPr>
      <t/>
    </r>
  </si>
  <si>
    <r>
      <t>Partial derivative of BCF</t>
    </r>
    <r>
      <rPr>
        <vertAlign val="subscript"/>
        <sz val="10"/>
        <rFont val="Calibri"/>
        <family val="2"/>
      </rPr>
      <t>ww,t</t>
    </r>
    <r>
      <rPr>
        <sz val="10"/>
        <rFont val="Calibri"/>
        <family val="2"/>
      </rPr>
      <t xml:space="preserve"> with respect to C</t>
    </r>
    <r>
      <rPr>
        <vertAlign val="subscript"/>
        <sz val="10"/>
        <rFont val="Calibri"/>
        <family val="2"/>
      </rPr>
      <t>4</t>
    </r>
    <r>
      <rPr>
        <sz val="11"/>
        <color theme="1"/>
        <rFont val="Calibri"/>
        <family val="2"/>
        <scheme val="minor"/>
      </rPr>
      <t/>
    </r>
  </si>
  <si>
    <r>
      <t>əBCF</t>
    </r>
    <r>
      <rPr>
        <vertAlign val="subscript"/>
        <sz val="10"/>
        <rFont val="Calibri"/>
        <family val="2"/>
      </rPr>
      <t>ww,t</t>
    </r>
    <r>
      <rPr>
        <sz val="10"/>
        <rFont val="Calibri"/>
        <family val="2"/>
      </rPr>
      <t>/əW</t>
    </r>
    <r>
      <rPr>
        <vertAlign val="subscript"/>
        <sz val="10"/>
        <rFont val="Calibri"/>
        <family val="2"/>
      </rPr>
      <t>B</t>
    </r>
  </si>
  <si>
    <r>
      <t>əBCF</t>
    </r>
    <r>
      <rPr>
        <vertAlign val="subscript"/>
        <sz val="10"/>
        <rFont val="Calibri"/>
        <family val="2"/>
      </rPr>
      <t>ww,t</t>
    </r>
    <r>
      <rPr>
        <sz val="10"/>
        <rFont val="Calibri"/>
        <family val="2"/>
      </rPr>
      <t>/əW</t>
    </r>
    <r>
      <rPr>
        <vertAlign val="subscript"/>
        <sz val="10"/>
        <rFont val="Calibri"/>
        <family val="2"/>
      </rPr>
      <t>B</t>
    </r>
    <r>
      <rPr>
        <sz val="10"/>
        <rFont val="Calibri"/>
        <family val="2"/>
      </rPr>
      <t xml:space="preserve"> = -C3·W</t>
    </r>
    <r>
      <rPr>
        <vertAlign val="subscript"/>
        <sz val="10"/>
        <rFont val="Calibri"/>
        <family val="2"/>
      </rPr>
      <t>B</t>
    </r>
    <r>
      <rPr>
        <vertAlign val="superscript"/>
        <sz val="10"/>
        <rFont val="Calibri"/>
        <family val="2"/>
      </rPr>
      <t>C3-1</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sz val="10"/>
        <rFont val="Calibri"/>
        <family val="2"/>
      </rPr>
      <t>·b</t>
    </r>
    <r>
      <rPr>
        <vertAlign val="subscript"/>
        <sz val="10"/>
        <rFont val="Calibri"/>
        <family val="2"/>
      </rPr>
      <t>1</t>
    </r>
    <r>
      <rPr>
        <sz val="10"/>
        <rFont val="Calibri"/>
        <family val="2"/>
      </rPr>
      <t>·(1+C</t>
    </r>
    <r>
      <rPr>
        <vertAlign val="subscript"/>
        <sz val="10"/>
        <rFont val="Calibri"/>
        <family val="2"/>
      </rPr>
      <t>OC</t>
    </r>
    <r>
      <rPr>
        <sz val="10"/>
        <rFont val="Calibri"/>
        <family val="2"/>
      </rPr>
      <t>·K</t>
    </r>
    <r>
      <rPr>
        <vertAlign val="subscript"/>
        <sz val="10"/>
        <rFont val="Calibri"/>
        <family val="2"/>
      </rPr>
      <t>OC</t>
    </r>
    <r>
      <rPr>
        <sz val="10"/>
        <rFont val="Calibri"/>
        <family val="2"/>
      </rPr>
      <t>)]</t>
    </r>
  </si>
  <si>
    <r>
      <t>əBCF</t>
    </r>
    <r>
      <rPr>
        <vertAlign val="subscript"/>
        <sz val="10"/>
        <rFont val="Calibri"/>
        <family val="2"/>
      </rPr>
      <t>ww,t</t>
    </r>
    <r>
      <rPr>
        <sz val="10"/>
        <rFont val="Calibri"/>
        <family val="2"/>
      </rPr>
      <t>/əC</t>
    </r>
    <r>
      <rPr>
        <vertAlign val="subscript"/>
        <sz val="10"/>
        <rFont val="Calibri"/>
        <family val="2"/>
      </rPr>
      <t>OX</t>
    </r>
  </si>
  <si>
    <r>
      <t>əBCF</t>
    </r>
    <r>
      <rPr>
        <vertAlign val="subscript"/>
        <sz val="10"/>
        <rFont val="Calibri"/>
        <family val="2"/>
      </rPr>
      <t>ww,t</t>
    </r>
    <r>
      <rPr>
        <sz val="10"/>
        <rFont val="Calibri"/>
        <family val="2"/>
      </rPr>
      <t>/əC</t>
    </r>
    <r>
      <rPr>
        <vertAlign val="subscript"/>
        <sz val="10"/>
        <rFont val="Calibri"/>
        <family val="2"/>
      </rPr>
      <t>OX</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vertAlign val="superscript"/>
        <sz val="10"/>
        <rFont val="Calibri"/>
        <family val="2"/>
      </rPr>
      <t>2</t>
    </r>
    <r>
      <rPr>
        <sz val="10"/>
        <rFont val="Calibri"/>
        <family val="2"/>
      </rPr>
      <t>·b</t>
    </r>
    <r>
      <rPr>
        <vertAlign val="subscript"/>
        <sz val="10"/>
        <rFont val="Calibri"/>
        <family val="2"/>
      </rPr>
      <t>1</t>
    </r>
    <r>
      <rPr>
        <sz val="10"/>
        <rFont val="Calibri"/>
        <family val="2"/>
      </rPr>
      <t>·(1+C</t>
    </r>
    <r>
      <rPr>
        <vertAlign val="subscript"/>
        <sz val="10"/>
        <rFont val="Calibri"/>
        <family val="2"/>
      </rPr>
      <t>OC</t>
    </r>
    <r>
      <rPr>
        <sz val="10"/>
        <rFont val="Calibri"/>
        <family val="2"/>
      </rPr>
      <t>·K</t>
    </r>
    <r>
      <rPr>
        <vertAlign val="subscript"/>
        <sz val="10"/>
        <rFont val="Calibri"/>
        <family val="2"/>
      </rPr>
      <t>OC</t>
    </r>
    <r>
      <rPr>
        <sz val="10"/>
        <rFont val="Calibri"/>
        <family val="2"/>
      </rPr>
      <t>)]</t>
    </r>
  </si>
  <si>
    <r>
      <t>əBCF</t>
    </r>
    <r>
      <rPr>
        <vertAlign val="subscript"/>
        <sz val="10"/>
        <rFont val="Calibri"/>
        <family val="2"/>
      </rPr>
      <t>ww,t</t>
    </r>
    <r>
      <rPr>
        <sz val="10"/>
        <rFont val="Calibri"/>
        <family val="2"/>
      </rPr>
      <t>/əb</t>
    </r>
    <r>
      <rPr>
        <vertAlign val="subscript"/>
        <sz val="10"/>
        <rFont val="Calibri"/>
        <family val="2"/>
      </rPr>
      <t>1</t>
    </r>
  </si>
  <si>
    <r>
      <t>əBCF</t>
    </r>
    <r>
      <rPr>
        <vertAlign val="subscript"/>
        <sz val="10"/>
        <rFont val="Calibri"/>
        <family val="2"/>
      </rPr>
      <t>ww,t</t>
    </r>
    <r>
      <rPr>
        <sz val="10"/>
        <rFont val="Calibri"/>
        <family val="2"/>
      </rPr>
      <t>/əb</t>
    </r>
    <r>
      <rPr>
        <vertAlign val="subscript"/>
        <sz val="10"/>
        <rFont val="Calibri"/>
        <family val="2"/>
      </rPr>
      <t>1</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sz val="10"/>
        <rFont val="Calibri"/>
        <family val="2"/>
      </rPr>
      <t>·b</t>
    </r>
    <r>
      <rPr>
        <vertAlign val="subscript"/>
        <sz val="10"/>
        <rFont val="Calibri"/>
        <family val="2"/>
      </rPr>
      <t>1</t>
    </r>
    <r>
      <rPr>
        <vertAlign val="superscript"/>
        <sz val="10"/>
        <rFont val="Calibri"/>
        <family val="2"/>
      </rPr>
      <t>2</t>
    </r>
    <r>
      <rPr>
        <sz val="10"/>
        <rFont val="Calibri"/>
        <family val="2"/>
      </rPr>
      <t>·(1+C</t>
    </r>
    <r>
      <rPr>
        <vertAlign val="subscript"/>
        <sz val="10"/>
        <rFont val="Calibri"/>
        <family val="2"/>
      </rPr>
      <t>OC</t>
    </r>
    <r>
      <rPr>
        <sz val="10"/>
        <rFont val="Calibri"/>
        <family val="2"/>
      </rPr>
      <t>·K</t>
    </r>
    <r>
      <rPr>
        <vertAlign val="subscript"/>
        <sz val="10"/>
        <rFont val="Calibri"/>
        <family val="2"/>
      </rPr>
      <t>OC</t>
    </r>
    <r>
      <rPr>
        <sz val="10"/>
        <rFont val="Calibri"/>
        <family val="2"/>
      </rPr>
      <t>)]</t>
    </r>
  </si>
  <si>
    <r>
      <t>əBCF</t>
    </r>
    <r>
      <rPr>
        <vertAlign val="subscript"/>
        <sz val="10"/>
        <rFont val="Calibri"/>
        <family val="2"/>
      </rPr>
      <t>ww,t</t>
    </r>
    <r>
      <rPr>
        <sz val="10"/>
        <rFont val="Calibri"/>
        <family val="2"/>
      </rPr>
      <t>/əC</t>
    </r>
    <r>
      <rPr>
        <vertAlign val="subscript"/>
        <sz val="10"/>
        <rFont val="Calibri"/>
        <family val="2"/>
      </rPr>
      <t>1</t>
    </r>
  </si>
  <si>
    <r>
      <t>əBCF</t>
    </r>
    <r>
      <rPr>
        <vertAlign val="subscript"/>
        <sz val="10"/>
        <rFont val="Calibri"/>
        <family val="2"/>
      </rPr>
      <t>ww,t</t>
    </r>
    <r>
      <rPr>
        <sz val="10"/>
        <rFont val="Calibri"/>
        <family val="2"/>
      </rPr>
      <t>/əC</t>
    </r>
    <r>
      <rPr>
        <vertAlign val="subscript"/>
        <sz val="10"/>
        <rFont val="Calibri"/>
        <family val="2"/>
      </rPr>
      <t>1</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t>
    </r>
    <r>
      <rPr>
        <vertAlign val="superscript"/>
        <sz val="10"/>
        <rFont val="Calibri"/>
        <family val="2"/>
      </rPr>
      <t>2</t>
    </r>
    <r>
      <rPr>
        <sz val="10"/>
        <rFont val="Calibri"/>
        <family val="2"/>
      </rPr>
      <t>·C</t>
    </r>
    <r>
      <rPr>
        <vertAlign val="subscript"/>
        <sz val="10"/>
        <rFont val="Calibri"/>
        <family val="2"/>
      </rPr>
      <t>OX</t>
    </r>
    <r>
      <rPr>
        <sz val="10"/>
        <rFont val="Calibri"/>
        <family val="2"/>
      </rPr>
      <t>·b</t>
    </r>
    <r>
      <rPr>
        <vertAlign val="subscript"/>
        <sz val="10"/>
        <rFont val="Calibri"/>
        <family val="2"/>
      </rPr>
      <t>1</t>
    </r>
    <r>
      <rPr>
        <sz val="10"/>
        <rFont val="Calibri"/>
        <family val="2"/>
      </rPr>
      <t>·(1+C</t>
    </r>
    <r>
      <rPr>
        <vertAlign val="subscript"/>
        <sz val="10"/>
        <rFont val="Calibri"/>
        <family val="2"/>
      </rPr>
      <t>OC</t>
    </r>
    <r>
      <rPr>
        <sz val="10"/>
        <rFont val="Calibri"/>
        <family val="2"/>
      </rPr>
      <t>·K</t>
    </r>
    <r>
      <rPr>
        <vertAlign val="subscript"/>
        <sz val="10"/>
        <rFont val="Calibri"/>
        <family val="2"/>
      </rPr>
      <t>OC</t>
    </r>
    <r>
      <rPr>
        <sz val="10"/>
        <rFont val="Calibri"/>
        <family val="2"/>
      </rPr>
      <t>)]</t>
    </r>
  </si>
  <si>
    <r>
      <t>əBCF</t>
    </r>
    <r>
      <rPr>
        <vertAlign val="subscript"/>
        <sz val="10"/>
        <rFont val="Calibri"/>
        <family val="2"/>
      </rPr>
      <t>ww,t</t>
    </r>
    <r>
      <rPr>
        <sz val="10"/>
        <rFont val="Calibri"/>
        <family val="2"/>
      </rPr>
      <t>/əC</t>
    </r>
    <r>
      <rPr>
        <vertAlign val="subscript"/>
        <sz val="10"/>
        <rFont val="Calibri"/>
        <family val="2"/>
      </rPr>
      <t>2</t>
    </r>
  </si>
  <si>
    <r>
      <t>əBCF</t>
    </r>
    <r>
      <rPr>
        <vertAlign val="subscript"/>
        <sz val="10"/>
        <rFont val="Calibri"/>
        <family val="2"/>
      </rPr>
      <t>ww,t</t>
    </r>
    <r>
      <rPr>
        <sz val="10"/>
        <rFont val="Calibri"/>
        <family val="2"/>
      </rPr>
      <t>/əC</t>
    </r>
    <r>
      <rPr>
        <vertAlign val="subscript"/>
        <sz val="10"/>
        <rFont val="Calibri"/>
        <family val="2"/>
      </rPr>
      <t>2</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·10</t>
    </r>
    <r>
      <rPr>
        <vertAlign val="superscript"/>
        <sz val="10"/>
        <rFont val="Calibri"/>
        <family val="2"/>
      </rPr>
      <t>C4</t>
    </r>
    <r>
      <rPr>
        <sz val="10"/>
        <rFont val="Calibri"/>
        <family val="2"/>
      </rPr>
      <t>/[K</t>
    </r>
    <r>
      <rPr>
        <vertAlign val="subscript"/>
        <sz val="10"/>
        <rFont val="Calibri"/>
        <family val="2"/>
      </rPr>
      <t>OW</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t>
    </r>
    <r>
      <rPr>
        <vertAlign val="superscript"/>
        <sz val="10"/>
        <rFont val="Calibri"/>
        <family val="2"/>
      </rPr>
      <t>2</t>
    </r>
    <r>
      <rPr>
        <sz val="10"/>
        <rFont val="Calibri"/>
        <family val="2"/>
      </rPr>
      <t>·C</t>
    </r>
    <r>
      <rPr>
        <vertAlign val="subscript"/>
        <sz val="10"/>
        <rFont val="Calibri"/>
        <family val="2"/>
      </rPr>
      <t>OX</t>
    </r>
    <r>
      <rPr>
        <sz val="10"/>
        <rFont val="Calibri"/>
        <family val="2"/>
      </rPr>
      <t>·b</t>
    </r>
    <r>
      <rPr>
        <vertAlign val="subscript"/>
        <sz val="10"/>
        <rFont val="Calibri"/>
        <family val="2"/>
      </rPr>
      <t>1</t>
    </r>
    <r>
      <rPr>
        <sz val="10"/>
        <rFont val="Calibri"/>
        <family val="2"/>
      </rPr>
      <t>·(1+C</t>
    </r>
    <r>
      <rPr>
        <vertAlign val="subscript"/>
        <sz val="10"/>
        <rFont val="Calibri"/>
        <family val="2"/>
      </rPr>
      <t>OC</t>
    </r>
    <r>
      <rPr>
        <sz val="10"/>
        <rFont val="Calibri"/>
        <family val="2"/>
      </rPr>
      <t>·K</t>
    </r>
    <r>
      <rPr>
        <vertAlign val="subscript"/>
        <sz val="10"/>
        <rFont val="Calibri"/>
        <family val="2"/>
      </rPr>
      <t>OC</t>
    </r>
    <r>
      <rPr>
        <sz val="10"/>
        <rFont val="Calibri"/>
        <family val="2"/>
      </rPr>
      <t>)]</t>
    </r>
  </si>
  <si>
    <r>
      <t>əBCF</t>
    </r>
    <r>
      <rPr>
        <vertAlign val="subscript"/>
        <sz val="10"/>
        <rFont val="Calibri"/>
        <family val="2"/>
      </rPr>
      <t>ww,t</t>
    </r>
    <r>
      <rPr>
        <sz val="10"/>
        <rFont val="Calibri"/>
        <family val="2"/>
      </rPr>
      <t>/əC</t>
    </r>
    <r>
      <rPr>
        <vertAlign val="subscript"/>
        <sz val="10"/>
        <rFont val="Calibri"/>
        <family val="2"/>
      </rPr>
      <t>3</t>
    </r>
  </si>
  <si>
    <r>
      <t>əBCF</t>
    </r>
    <r>
      <rPr>
        <vertAlign val="subscript"/>
        <sz val="10"/>
        <rFont val="Calibri"/>
        <family val="2"/>
      </rPr>
      <t>ww,t</t>
    </r>
    <r>
      <rPr>
        <sz val="10"/>
        <rFont val="Calibri"/>
        <family val="2"/>
      </rPr>
      <t>/əC</t>
    </r>
    <r>
      <rPr>
        <vertAlign val="subscript"/>
        <sz val="10"/>
        <rFont val="Calibri"/>
        <family val="2"/>
      </rPr>
      <t>3</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·ln(W</t>
    </r>
    <r>
      <rPr>
        <vertAlign val="subscript"/>
        <sz val="10"/>
        <rFont val="Calibri"/>
        <family val="2"/>
      </rPr>
      <t>B</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sz val="10"/>
        <rFont val="Calibri"/>
        <family val="2"/>
      </rPr>
      <t>·b</t>
    </r>
    <r>
      <rPr>
        <vertAlign val="subscript"/>
        <sz val="10"/>
        <rFont val="Calibri"/>
        <family val="2"/>
      </rPr>
      <t>1</t>
    </r>
    <r>
      <rPr>
        <sz val="10"/>
        <rFont val="Calibri"/>
        <family val="2"/>
      </rPr>
      <t>·(1+C</t>
    </r>
    <r>
      <rPr>
        <vertAlign val="subscript"/>
        <sz val="10"/>
        <rFont val="Calibri"/>
        <family val="2"/>
      </rPr>
      <t>OC</t>
    </r>
    <r>
      <rPr>
        <sz val="10"/>
        <rFont val="Calibri"/>
        <family val="2"/>
      </rPr>
      <t>·K</t>
    </r>
    <r>
      <rPr>
        <vertAlign val="subscript"/>
        <sz val="10"/>
        <rFont val="Calibri"/>
        <family val="2"/>
      </rPr>
      <t>OC</t>
    </r>
    <r>
      <rPr>
        <sz val="10"/>
        <rFont val="Calibri"/>
        <family val="2"/>
      </rPr>
      <t>)]</t>
    </r>
  </si>
  <si>
    <r>
      <t>əBCF</t>
    </r>
    <r>
      <rPr>
        <vertAlign val="subscript"/>
        <sz val="10"/>
        <rFont val="Calibri"/>
        <family val="2"/>
      </rPr>
      <t>ww,t</t>
    </r>
    <r>
      <rPr>
        <sz val="10"/>
        <rFont val="Calibri"/>
        <family val="2"/>
      </rPr>
      <t>/əC</t>
    </r>
    <r>
      <rPr>
        <vertAlign val="subscript"/>
        <sz val="10"/>
        <rFont val="Calibri"/>
        <family val="2"/>
      </rPr>
      <t>4</t>
    </r>
  </si>
  <si>
    <r>
      <t>əBCF</t>
    </r>
    <r>
      <rPr>
        <vertAlign val="subscript"/>
        <sz val="10"/>
        <rFont val="Calibri"/>
        <family val="2"/>
      </rPr>
      <t>ww,t</t>
    </r>
    <r>
      <rPr>
        <sz val="10"/>
        <rFont val="Calibri"/>
        <family val="2"/>
      </rPr>
      <t>/əC</t>
    </r>
    <r>
      <rPr>
        <vertAlign val="subscript"/>
        <sz val="10"/>
        <rFont val="Calibri"/>
        <family val="2"/>
      </rPr>
      <t>4</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·10</t>
    </r>
    <r>
      <rPr>
        <vertAlign val="superscript"/>
        <sz val="10"/>
        <rFont val="Calibri"/>
        <family val="2"/>
      </rPr>
      <t>C4</t>
    </r>
    <r>
      <rPr>
        <sz val="10"/>
        <rFont val="Calibri"/>
        <family val="2"/>
      </rPr>
      <t>·ln(10)/[(C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sz val="10"/>
        <rFont val="Calibri"/>
        <family val="2"/>
      </rPr>
      <t>·b</t>
    </r>
    <r>
      <rPr>
        <vertAlign val="subscript"/>
        <sz val="10"/>
        <rFont val="Calibri"/>
        <family val="2"/>
      </rPr>
      <t>1</t>
    </r>
    <r>
      <rPr>
        <sz val="10"/>
        <rFont val="Calibri"/>
        <family val="2"/>
      </rPr>
      <t>·(1+C</t>
    </r>
    <r>
      <rPr>
        <vertAlign val="subscript"/>
        <sz val="10"/>
        <rFont val="Calibri"/>
        <family val="2"/>
      </rPr>
      <t>OC</t>
    </r>
    <r>
      <rPr>
        <sz val="10"/>
        <rFont val="Calibri"/>
        <family val="2"/>
      </rPr>
      <t>·K</t>
    </r>
    <r>
      <rPr>
        <vertAlign val="subscript"/>
        <sz val="10"/>
        <rFont val="Calibri"/>
        <family val="2"/>
      </rPr>
      <t>OC</t>
    </r>
    <r>
      <rPr>
        <sz val="10"/>
        <rFont val="Calibri"/>
        <family val="2"/>
      </rPr>
      <t>)]</t>
    </r>
  </si>
  <si>
    <t>Enter "Yes" if reference chemicals are used; enter "No" if reference chemicals are not used</t>
  </si>
  <si>
    <t>1/ω</t>
  </si>
  <si>
    <t>Default Standard Error</t>
  </si>
  <si>
    <r>
      <t>Covariance of regression coefficients b</t>
    </r>
    <r>
      <rPr>
        <vertAlign val="subscript"/>
        <sz val="10"/>
        <rFont val="Calibri"/>
        <family val="2"/>
      </rPr>
      <t>0</t>
    </r>
    <r>
      <rPr>
        <sz val="10"/>
        <rFont val="Calibri"/>
        <family val="2"/>
      </rPr>
      <t xml:space="preserve"> and b</t>
    </r>
    <r>
      <rPr>
        <vertAlign val="subscript"/>
        <sz val="10"/>
        <rFont val="Calibri"/>
        <family val="2"/>
      </rPr>
      <t>1</t>
    </r>
  </si>
  <si>
    <t>Default: approx. 100% digestive emptying times (Fange &amp; Grove 1979)</t>
    <phoneticPr fontId="23" type="noConversion"/>
  </si>
  <si>
    <t>Lo et al. 2015</t>
    <phoneticPr fontId="23" type="noConversion"/>
  </si>
  <si>
    <r>
      <t>k</t>
    </r>
    <r>
      <rPr>
        <vertAlign val="subscript"/>
        <sz val="10"/>
        <rFont val="Calibri"/>
        <family val="2"/>
      </rPr>
      <t xml:space="preserve">B1t </t>
    </r>
    <r>
      <rPr>
        <sz val="10"/>
        <rFont val="Calibri"/>
        <family val="2"/>
      </rPr>
      <t>= k</t>
    </r>
    <r>
      <rPr>
        <vertAlign val="subscript"/>
        <sz val="10"/>
        <rFont val="Calibri"/>
        <family val="2"/>
      </rPr>
      <t>B1</t>
    </r>
    <r>
      <rPr>
        <sz val="10"/>
        <rFont val="Calibri"/>
        <family val="2"/>
      </rPr>
      <t>·φ</t>
    </r>
    <r>
      <rPr>
        <vertAlign val="subscript"/>
        <sz val="10"/>
        <rFont val="Calibri"/>
        <family val="2"/>
      </rPr>
      <t>WD</t>
    </r>
  </si>
  <si>
    <r>
      <t>SE(k</t>
    </r>
    <r>
      <rPr>
        <vertAlign val="subscript"/>
        <sz val="10"/>
        <rFont val="Calibri"/>
        <family val="2"/>
      </rPr>
      <t>B1t</t>
    </r>
    <r>
      <rPr>
        <sz val="10"/>
        <rFont val="Calibri"/>
        <family val="2"/>
      </rPr>
      <t>) = SE(k</t>
    </r>
    <r>
      <rPr>
        <vertAlign val="subscript"/>
        <sz val="10"/>
        <rFont val="Calibri"/>
        <family val="2"/>
      </rPr>
      <t>B1</t>
    </r>
    <r>
      <rPr>
        <sz val="10"/>
        <rFont val="Calibri"/>
        <family val="2"/>
      </rPr>
      <t>)·</t>
    </r>
    <r>
      <rPr>
        <sz val="10"/>
        <rFont val="Calibri"/>
        <family val="2"/>
      </rPr>
      <t>φ</t>
    </r>
    <r>
      <rPr>
        <vertAlign val="subscript"/>
        <sz val="10"/>
        <rFont val="Calibri"/>
        <family val="2"/>
      </rPr>
      <t>WD</t>
    </r>
  </si>
  <si>
    <r>
      <t>ək</t>
    </r>
    <r>
      <rPr>
        <vertAlign val="subscript"/>
        <sz val="10"/>
        <rFont val="Calibri"/>
        <family val="2"/>
      </rPr>
      <t>BM</t>
    </r>
    <r>
      <rPr>
        <sz val="10"/>
        <rFont val="Calibri"/>
        <family val="2"/>
      </rPr>
      <t>/əC</t>
    </r>
    <r>
      <rPr>
        <vertAlign val="subscript"/>
        <sz val="10"/>
        <rFont val="Calibri"/>
        <family val="2"/>
      </rPr>
      <t>2</t>
    </r>
    <r>
      <rPr>
        <sz val="10"/>
        <rFont val="Calibri"/>
        <family val="2"/>
      </rPr>
      <t xml:space="preserve"> = W</t>
    </r>
    <r>
      <rPr>
        <vertAlign val="subscript"/>
        <sz val="10"/>
        <rFont val="Calibri"/>
        <family val="2"/>
      </rPr>
      <t>B</t>
    </r>
    <r>
      <rPr>
        <vertAlign val="superscript"/>
        <sz val="10"/>
        <rFont val="Calibri"/>
        <family val="2"/>
      </rPr>
      <t>C3</t>
    </r>
    <r>
      <rPr>
        <sz val="10"/>
        <rFont val="Calibri"/>
        <family val="2"/>
      </rPr>
      <t>·10</t>
    </r>
    <r>
      <rPr>
        <vertAlign val="superscript"/>
        <sz val="10"/>
        <rFont val="Calibri"/>
        <family val="2"/>
      </rPr>
      <t>C4</t>
    </r>
    <r>
      <rPr>
        <sz val="10"/>
        <rFont val="Calibri"/>
        <family val="2"/>
      </rPr>
      <t>/[(C</t>
    </r>
    <r>
      <rPr>
        <vertAlign val="subscript"/>
        <sz val="10"/>
        <rFont val="Calibri"/>
        <family val="2"/>
      </rPr>
      <t>1</t>
    </r>
    <r>
      <rPr>
        <sz val="10"/>
        <rFont val="Calibri"/>
        <family val="2"/>
      </rPr>
      <t>+C</t>
    </r>
    <r>
      <rPr>
        <vertAlign val="subscript"/>
        <sz val="10"/>
        <rFont val="Calibri"/>
        <family val="2"/>
      </rPr>
      <t>2</t>
    </r>
    <r>
      <rPr>
        <sz val="10"/>
        <rFont val="Calibri"/>
        <family val="2"/>
      </rPr>
      <t>/K</t>
    </r>
    <r>
      <rPr>
        <vertAlign val="subscript"/>
        <sz val="10"/>
        <rFont val="Calibri"/>
        <family val="2"/>
      </rPr>
      <t>OW</t>
    </r>
    <r>
      <rPr>
        <sz val="10"/>
        <rFont val="Calibri"/>
        <family val="2"/>
      </rPr>
      <t>)</t>
    </r>
    <r>
      <rPr>
        <vertAlign val="superscript"/>
        <sz val="10"/>
        <rFont val="Calibri"/>
        <family val="2"/>
      </rPr>
      <t>2</t>
    </r>
    <r>
      <rPr>
        <sz val="10"/>
        <rFont val="Calibri"/>
        <family val="2"/>
      </rPr>
      <t>·K</t>
    </r>
    <r>
      <rPr>
        <vertAlign val="subscript"/>
        <sz val="10"/>
        <rFont val="Calibri"/>
        <family val="2"/>
      </rPr>
      <t>OW</t>
    </r>
    <r>
      <rPr>
        <sz val="10"/>
        <rFont val="Calibri"/>
        <family val="2"/>
      </rPr>
      <t>·C</t>
    </r>
    <r>
      <rPr>
        <vertAlign val="subscript"/>
        <sz val="10"/>
        <rFont val="Calibri"/>
        <family val="2"/>
      </rPr>
      <t>OX</t>
    </r>
    <r>
      <rPr>
        <sz val="10"/>
        <rFont val="Calibri"/>
        <family val="2"/>
      </rPr>
      <t>·K</t>
    </r>
    <r>
      <rPr>
        <vertAlign val="subscript"/>
        <sz val="10"/>
        <rFont val="Calibri"/>
        <family val="2"/>
      </rPr>
      <t>BW</t>
    </r>
    <r>
      <rPr>
        <sz val="10"/>
        <rFont val="Calibri"/>
        <family val="2"/>
      </rPr>
      <t>]</t>
    </r>
  </si>
  <si>
    <r>
      <t>Partial derivative of BCF</t>
    </r>
    <r>
      <rPr>
        <vertAlign val="subscript"/>
        <sz val="10"/>
        <rFont val="Calibri"/>
        <family val="2"/>
      </rPr>
      <t xml:space="preserve">ww,t </t>
    </r>
    <r>
      <rPr>
        <sz val="10"/>
        <rFont val="Calibri"/>
        <family val="2"/>
      </rPr>
      <t>with respect to 1/ω</t>
    </r>
  </si>
  <si>
    <r>
      <t>əBCF</t>
    </r>
    <r>
      <rPr>
        <vertAlign val="subscript"/>
        <sz val="10"/>
        <rFont val="Calibri"/>
        <family val="2"/>
      </rPr>
      <t>ww,t</t>
    </r>
    <r>
      <rPr>
        <sz val="10"/>
        <rFont val="Calibri"/>
        <family val="2"/>
      </rPr>
      <t>/ə(1/ω)</t>
    </r>
  </si>
  <si>
    <t>n</t>
    <phoneticPr fontId="23" type="noConversion"/>
  </si>
  <si>
    <t>NA</t>
    <phoneticPr fontId="23" type="noConversion"/>
  </si>
  <si>
    <t>no</t>
  </si>
  <si>
    <r>
      <t>əBCF</t>
    </r>
    <r>
      <rPr>
        <vertAlign val="subscript"/>
        <sz val="10"/>
        <rFont val="Calibri"/>
        <family val="2"/>
      </rPr>
      <t>ww,t</t>
    </r>
    <r>
      <rPr>
        <sz val="10"/>
        <rFont val="Calibri"/>
        <family val="2"/>
      </rPr>
      <t>/ə(1/ω) = -K</t>
    </r>
    <r>
      <rPr>
        <vertAlign val="subscript"/>
        <sz val="10"/>
        <rFont val="Calibri"/>
        <family val="2"/>
      </rPr>
      <t>BW</t>
    </r>
    <r>
      <rPr>
        <sz val="10"/>
        <rFont val="Calibri"/>
        <family val="2"/>
      </rPr>
      <t>/[b</t>
    </r>
    <r>
      <rPr>
        <vertAlign val="subscript"/>
        <sz val="10"/>
        <rFont val="Calibri"/>
        <family val="2"/>
      </rPr>
      <t>1</t>
    </r>
    <r>
      <rPr>
        <sz val="10"/>
        <rFont val="Calibri"/>
        <family val="2"/>
      </rPr>
      <t>·K</t>
    </r>
    <r>
      <rPr>
        <vertAlign val="subscript"/>
        <sz val="10"/>
        <rFont val="Calibri"/>
        <family val="2"/>
      </rPr>
      <t>OW</t>
    </r>
    <r>
      <rPr>
        <sz val="10"/>
        <rFont val="Calibri"/>
        <family val="2"/>
      </rPr>
      <t>·(1+C</t>
    </r>
    <r>
      <rPr>
        <vertAlign val="subscript"/>
        <sz val="10"/>
        <rFont val="Calibri"/>
        <family val="2"/>
      </rPr>
      <t>OC</t>
    </r>
    <r>
      <rPr>
        <sz val="10"/>
        <rFont val="Calibri"/>
        <family val="2"/>
      </rPr>
      <t>·K</t>
    </r>
    <r>
      <rPr>
        <vertAlign val="subscript"/>
        <sz val="10"/>
        <rFont val="Calibri"/>
        <family val="2"/>
      </rPr>
      <t>OC</t>
    </r>
    <r>
      <rPr>
        <sz val="10"/>
        <rFont val="Calibri"/>
        <family val="2"/>
      </rPr>
      <t>)]</t>
    </r>
  </si>
  <si>
    <r>
      <t>əBCF</t>
    </r>
    <r>
      <rPr>
        <vertAlign val="subscript"/>
        <sz val="10"/>
        <rFont val="Calibri"/>
        <family val="2"/>
      </rPr>
      <t>ww,t</t>
    </r>
    <r>
      <rPr>
        <sz val="10"/>
        <rFont val="Calibri"/>
        <family val="2"/>
      </rPr>
      <t>/əb</t>
    </r>
    <r>
      <rPr>
        <vertAlign val="subscript"/>
        <sz val="10"/>
        <rFont val="Calibri"/>
        <family val="2"/>
      </rPr>
      <t>1</t>
    </r>
    <r>
      <rPr>
        <sz val="10"/>
        <rFont val="Calibri"/>
        <family val="2"/>
      </rPr>
      <t xml:space="preserve"> = (1/ω)·{K</t>
    </r>
    <r>
      <rPr>
        <vertAlign val="subscript"/>
        <sz val="10"/>
        <rFont val="Calibri"/>
        <family val="2"/>
      </rPr>
      <t>BW</t>
    </r>
    <r>
      <rPr>
        <sz val="10"/>
        <rFont val="Calibri"/>
        <family val="2"/>
      </rPr>
      <t>/[b</t>
    </r>
    <r>
      <rPr>
        <vertAlign val="subscript"/>
        <sz val="10"/>
        <rFont val="Calibri"/>
        <family val="2"/>
      </rPr>
      <t>1</t>
    </r>
    <r>
      <rPr>
        <vertAlign val="superscript"/>
        <sz val="10"/>
        <rFont val="Calibri"/>
        <family val="2"/>
      </rPr>
      <t>2</t>
    </r>
    <r>
      <rPr>
        <sz val="10"/>
        <rFont val="Calibri"/>
        <family val="2"/>
      </rPr>
      <t>·K</t>
    </r>
    <r>
      <rPr>
        <vertAlign val="subscript"/>
        <sz val="10"/>
        <rFont val="Calibri"/>
        <family val="2"/>
      </rPr>
      <t>OW</t>
    </r>
    <r>
      <rPr>
        <sz val="10"/>
        <rFont val="Calibri"/>
        <family val="2"/>
      </rPr>
      <t>·(1+C</t>
    </r>
    <r>
      <rPr>
        <vertAlign val="subscript"/>
        <sz val="10"/>
        <rFont val="Calibri"/>
        <family val="2"/>
      </rPr>
      <t>OC</t>
    </r>
    <r>
      <rPr>
        <sz val="10"/>
        <rFont val="Calibri"/>
        <family val="2"/>
      </rPr>
      <t>·K</t>
    </r>
    <r>
      <rPr>
        <vertAlign val="subscript"/>
        <sz val="10"/>
        <rFont val="Calibri"/>
        <family val="2"/>
      </rPr>
      <t>OC</t>
    </r>
    <r>
      <rPr>
        <sz val="10"/>
        <rFont val="Calibri"/>
        <family val="2"/>
      </rPr>
      <t>)]}</t>
    </r>
  </si>
  <si>
    <r>
      <t>If reference chemicals used="Yes", SE(k</t>
    </r>
    <r>
      <rPr>
        <vertAlign val="subscript"/>
        <sz val="10"/>
        <rFont val="Calibri"/>
        <family val="2"/>
      </rPr>
      <t>B2</t>
    </r>
    <r>
      <rPr>
        <sz val="10"/>
        <rFont val="Calibri"/>
        <family val="2"/>
      </rPr>
      <t>) = SE(1/ω)·(1/K</t>
    </r>
    <r>
      <rPr>
        <vertAlign val="subscript"/>
        <sz val="10"/>
        <rFont val="Calibri"/>
        <family val="2"/>
      </rPr>
      <t>OW</t>
    </r>
    <r>
      <rPr>
        <sz val="10"/>
        <rFont val="Calibri"/>
        <family val="2"/>
      </rPr>
      <t>); if reference chemicals used="No", SE(k</t>
    </r>
    <r>
      <rPr>
        <vertAlign val="subscript"/>
        <sz val="10"/>
        <rFont val="Calibri"/>
        <family val="2"/>
      </rPr>
      <t>B2</t>
    </r>
    <r>
      <rPr>
        <sz val="10"/>
        <rFont val="Calibri"/>
        <family val="2"/>
      </rPr>
      <t>) = {[(ək</t>
    </r>
    <r>
      <rPr>
        <vertAlign val="subscript"/>
        <sz val="10"/>
        <rFont val="Calibri"/>
        <family val="2"/>
      </rPr>
      <t>B2</t>
    </r>
    <r>
      <rPr>
        <sz val="10"/>
        <rFont val="Calibri"/>
        <family val="2"/>
      </rPr>
      <t>/əW</t>
    </r>
    <r>
      <rPr>
        <vertAlign val="subscript"/>
        <sz val="10"/>
        <rFont val="Calibri"/>
        <family val="2"/>
      </rPr>
      <t>B</t>
    </r>
    <r>
      <rPr>
        <sz val="10"/>
        <rFont val="Calibri"/>
        <family val="2"/>
      </rPr>
      <t>)·SE(W</t>
    </r>
    <r>
      <rPr>
        <vertAlign val="subscript"/>
        <sz val="10"/>
        <rFont val="Calibri"/>
        <family val="2"/>
      </rPr>
      <t>B</t>
    </r>
    <r>
      <rPr>
        <sz val="10"/>
        <rFont val="Calibri"/>
        <family val="2"/>
      </rPr>
      <t>)]</t>
    </r>
    <r>
      <rPr>
        <vertAlign val="superscript"/>
        <sz val="10"/>
        <rFont val="Calibri"/>
        <family val="2"/>
      </rPr>
      <t>2</t>
    </r>
    <r>
      <rPr>
        <sz val="10"/>
        <rFont val="Calibri"/>
        <family val="2"/>
      </rPr>
      <t>+[(ək</t>
    </r>
    <r>
      <rPr>
        <vertAlign val="subscript"/>
        <sz val="10"/>
        <rFont val="Calibri"/>
        <family val="2"/>
      </rPr>
      <t>B2</t>
    </r>
    <r>
      <rPr>
        <sz val="10"/>
        <rFont val="Calibri"/>
        <family val="2"/>
      </rPr>
      <t>/əC</t>
    </r>
    <r>
      <rPr>
        <vertAlign val="subscript"/>
        <sz val="10"/>
        <rFont val="Calibri"/>
        <family val="2"/>
      </rPr>
      <t>OX</t>
    </r>
    <r>
      <rPr>
        <sz val="10"/>
        <rFont val="Calibri"/>
        <family val="2"/>
      </rPr>
      <t>)·SE(C</t>
    </r>
    <r>
      <rPr>
        <vertAlign val="subscript"/>
        <sz val="10"/>
        <rFont val="Calibri"/>
        <family val="2"/>
      </rPr>
      <t>OX</t>
    </r>
    <r>
      <rPr>
        <sz val="10"/>
        <rFont val="Calibri"/>
        <family val="2"/>
      </rPr>
      <t>)]</t>
    </r>
    <r>
      <rPr>
        <vertAlign val="superscript"/>
        <sz val="10"/>
        <rFont val="Calibri"/>
        <family val="2"/>
      </rPr>
      <t>2</t>
    </r>
    <r>
      <rPr>
        <sz val="10"/>
        <rFont val="Calibri"/>
        <family val="2"/>
      </rPr>
      <t>+[(ək</t>
    </r>
    <r>
      <rPr>
        <vertAlign val="subscript"/>
        <sz val="10"/>
        <rFont val="Calibri"/>
        <family val="2"/>
      </rPr>
      <t>B2</t>
    </r>
    <r>
      <rPr>
        <sz val="10"/>
        <rFont val="Calibri"/>
        <family val="2"/>
      </rPr>
      <t>/əC</t>
    </r>
    <r>
      <rPr>
        <vertAlign val="subscript"/>
        <sz val="10"/>
        <rFont val="Calibri"/>
        <family val="2"/>
      </rPr>
      <t>1</t>
    </r>
    <r>
      <rPr>
        <sz val="10"/>
        <rFont val="Calibri"/>
        <family val="2"/>
      </rPr>
      <t>)·SE(C</t>
    </r>
    <r>
      <rPr>
        <vertAlign val="subscript"/>
        <sz val="10"/>
        <rFont val="Calibri"/>
        <family val="2"/>
      </rPr>
      <t>1</t>
    </r>
    <r>
      <rPr>
        <sz val="10"/>
        <rFont val="Calibri"/>
        <family val="2"/>
      </rPr>
      <t>)]</t>
    </r>
    <r>
      <rPr>
        <vertAlign val="superscript"/>
        <sz val="10"/>
        <rFont val="Calibri"/>
        <family val="2"/>
      </rPr>
      <t>2</t>
    </r>
    <r>
      <rPr>
        <sz val="10"/>
        <rFont val="Calibri"/>
        <family val="2"/>
      </rPr>
      <t>+[(ək</t>
    </r>
    <r>
      <rPr>
        <vertAlign val="subscript"/>
        <sz val="10"/>
        <rFont val="Calibri"/>
        <family val="2"/>
      </rPr>
      <t>B2</t>
    </r>
    <r>
      <rPr>
        <sz val="10"/>
        <rFont val="Calibri"/>
        <family val="2"/>
      </rPr>
      <t>/əC</t>
    </r>
    <r>
      <rPr>
        <vertAlign val="subscript"/>
        <sz val="10"/>
        <rFont val="Calibri"/>
        <family val="2"/>
      </rPr>
      <t>2</t>
    </r>
    <r>
      <rPr>
        <sz val="10"/>
        <rFont val="Calibri"/>
        <family val="2"/>
      </rPr>
      <t>)·SE(C</t>
    </r>
    <r>
      <rPr>
        <vertAlign val="subscript"/>
        <sz val="10"/>
        <rFont val="Calibri"/>
        <family val="2"/>
      </rPr>
      <t>2</t>
    </r>
    <r>
      <rPr>
        <sz val="10"/>
        <rFont val="Calibri"/>
        <family val="2"/>
      </rPr>
      <t>)]</t>
    </r>
    <r>
      <rPr>
        <vertAlign val="superscript"/>
        <sz val="10"/>
        <rFont val="Calibri"/>
        <family val="2"/>
      </rPr>
      <t>2</t>
    </r>
    <r>
      <rPr>
        <sz val="10"/>
        <rFont val="Calibri"/>
        <family val="2"/>
      </rPr>
      <t>+2·(ək</t>
    </r>
    <r>
      <rPr>
        <vertAlign val="subscript"/>
        <sz val="10"/>
        <rFont val="Calibri"/>
        <family val="2"/>
      </rPr>
      <t>B2</t>
    </r>
    <r>
      <rPr>
        <sz val="10"/>
        <rFont val="Calibri"/>
        <family val="2"/>
      </rPr>
      <t>/əC</t>
    </r>
    <r>
      <rPr>
        <vertAlign val="subscript"/>
        <sz val="10"/>
        <rFont val="Calibri"/>
        <family val="2"/>
      </rPr>
      <t>1</t>
    </r>
    <r>
      <rPr>
        <sz val="10"/>
        <rFont val="Calibri"/>
        <family val="2"/>
      </rPr>
      <t>)·(ək</t>
    </r>
    <r>
      <rPr>
        <vertAlign val="subscript"/>
        <sz val="10"/>
        <rFont val="Calibri"/>
        <family val="2"/>
      </rPr>
      <t>B2</t>
    </r>
    <r>
      <rPr>
        <sz val="10"/>
        <rFont val="Calibri"/>
        <family val="2"/>
      </rPr>
      <t>/əC</t>
    </r>
    <r>
      <rPr>
        <vertAlign val="subscript"/>
        <sz val="10"/>
        <rFont val="Calibri"/>
        <family val="2"/>
      </rPr>
      <t>2</t>
    </r>
    <r>
      <rPr>
        <sz val="10"/>
        <rFont val="Calibri"/>
        <family val="2"/>
      </rPr>
      <t>)·Cov(C</t>
    </r>
    <r>
      <rPr>
        <vertAlign val="subscript"/>
        <sz val="10"/>
        <rFont val="Calibri"/>
        <family val="2"/>
      </rPr>
      <t>1</t>
    </r>
    <r>
      <rPr>
        <sz val="10"/>
        <rFont val="Calibri"/>
        <family val="2"/>
      </rPr>
      <t>,C</t>
    </r>
    <r>
      <rPr>
        <vertAlign val="subscript"/>
        <sz val="10"/>
        <rFont val="Calibri"/>
        <family val="2"/>
      </rPr>
      <t>2</t>
    </r>
    <r>
      <rPr>
        <sz val="10"/>
        <rFont val="Calibri"/>
        <family val="2"/>
      </rPr>
      <t>)+[(ək</t>
    </r>
    <r>
      <rPr>
        <vertAlign val="subscript"/>
        <sz val="10"/>
        <rFont val="Calibri"/>
        <family val="2"/>
      </rPr>
      <t>B2</t>
    </r>
    <r>
      <rPr>
        <sz val="10"/>
        <rFont val="Calibri"/>
        <family val="2"/>
      </rPr>
      <t>/əC</t>
    </r>
    <r>
      <rPr>
        <vertAlign val="subscript"/>
        <sz val="10"/>
        <rFont val="Calibri"/>
        <family val="2"/>
      </rPr>
      <t>3</t>
    </r>
    <r>
      <rPr>
        <sz val="10"/>
        <rFont val="Calibri"/>
        <family val="2"/>
      </rPr>
      <t>)·SE(C</t>
    </r>
    <r>
      <rPr>
        <vertAlign val="subscript"/>
        <sz val="10"/>
        <rFont val="Calibri"/>
        <family val="2"/>
      </rPr>
      <t>3</t>
    </r>
    <r>
      <rPr>
        <sz val="10"/>
        <rFont val="Calibri"/>
        <family val="2"/>
      </rPr>
      <t>)]</t>
    </r>
    <r>
      <rPr>
        <vertAlign val="superscript"/>
        <sz val="10"/>
        <rFont val="Calibri"/>
        <family val="2"/>
      </rPr>
      <t>2</t>
    </r>
    <r>
      <rPr>
        <sz val="10"/>
        <rFont val="Calibri"/>
        <family val="2"/>
      </rPr>
      <t>+[(ək</t>
    </r>
    <r>
      <rPr>
        <vertAlign val="subscript"/>
        <sz val="10"/>
        <rFont val="Calibri"/>
        <family val="2"/>
      </rPr>
      <t>B2</t>
    </r>
    <r>
      <rPr>
        <sz val="10"/>
        <rFont val="Calibri"/>
        <family val="2"/>
      </rPr>
      <t>/əC</t>
    </r>
    <r>
      <rPr>
        <vertAlign val="subscript"/>
        <sz val="10"/>
        <rFont val="Calibri"/>
        <family val="2"/>
      </rPr>
      <t>4</t>
    </r>
    <r>
      <rPr>
        <sz val="10"/>
        <rFont val="Calibri"/>
        <family val="2"/>
      </rPr>
      <t>)·SE(C</t>
    </r>
    <r>
      <rPr>
        <vertAlign val="subscript"/>
        <sz val="10"/>
        <rFont val="Calibri"/>
        <family val="2"/>
      </rPr>
      <t>4</t>
    </r>
    <r>
      <rPr>
        <sz val="10"/>
        <rFont val="Calibri"/>
        <family val="2"/>
      </rPr>
      <t>)]</t>
    </r>
    <r>
      <rPr>
        <vertAlign val="superscript"/>
        <sz val="10"/>
        <rFont val="Calibri"/>
        <family val="2"/>
      </rPr>
      <t>2</t>
    </r>
    <r>
      <rPr>
        <sz val="10"/>
        <rFont val="Calibri"/>
        <family val="2"/>
      </rPr>
      <t>+2·(ək</t>
    </r>
    <r>
      <rPr>
        <vertAlign val="subscript"/>
        <sz val="10"/>
        <rFont val="Calibri"/>
        <family val="2"/>
      </rPr>
      <t>B2</t>
    </r>
    <r>
      <rPr>
        <sz val="10"/>
        <rFont val="Calibri"/>
        <family val="2"/>
      </rPr>
      <t>/əC</t>
    </r>
    <r>
      <rPr>
        <vertAlign val="subscript"/>
        <sz val="10"/>
        <rFont val="Calibri"/>
        <family val="2"/>
      </rPr>
      <t>3</t>
    </r>
    <r>
      <rPr>
        <sz val="10"/>
        <rFont val="Calibri"/>
        <family val="2"/>
      </rPr>
      <t>)·(ək</t>
    </r>
    <r>
      <rPr>
        <vertAlign val="subscript"/>
        <sz val="10"/>
        <rFont val="Calibri"/>
        <family val="2"/>
      </rPr>
      <t>B2</t>
    </r>
    <r>
      <rPr>
        <sz val="10"/>
        <rFont val="Calibri"/>
        <family val="2"/>
      </rPr>
      <t>/əC</t>
    </r>
    <r>
      <rPr>
        <vertAlign val="subscript"/>
        <sz val="10"/>
        <rFont val="Calibri"/>
        <family val="2"/>
      </rPr>
      <t>4</t>
    </r>
    <r>
      <rPr>
        <sz val="10"/>
        <rFont val="Calibri"/>
        <family val="2"/>
      </rPr>
      <t>)·Cov(C</t>
    </r>
    <r>
      <rPr>
        <vertAlign val="subscript"/>
        <sz val="10"/>
        <rFont val="Calibri"/>
        <family val="2"/>
      </rPr>
      <t>3</t>
    </r>
    <r>
      <rPr>
        <sz val="10"/>
        <rFont val="Calibri"/>
        <family val="2"/>
      </rPr>
      <t>,C</t>
    </r>
    <r>
      <rPr>
        <vertAlign val="subscript"/>
        <sz val="10"/>
        <rFont val="Calibri"/>
        <family val="2"/>
      </rPr>
      <t>4</t>
    </r>
    <r>
      <rPr>
        <sz val="10"/>
        <rFont val="Calibri"/>
        <family val="2"/>
      </rPr>
      <t>)}</t>
    </r>
    <r>
      <rPr>
        <vertAlign val="superscript"/>
        <sz val="10"/>
        <rFont val="Calibri"/>
        <family val="2"/>
      </rPr>
      <t>0.5</t>
    </r>
    <r>
      <rPr>
        <sz val="10"/>
        <rFont val="Calibri"/>
        <family val="2"/>
      </rPr>
      <t/>
    </r>
  </si>
  <si>
    <r>
      <t>If reference chemicals used ="Yes", SE(BCF</t>
    </r>
    <r>
      <rPr>
        <vertAlign val="subscript"/>
        <sz val="10"/>
        <rFont val="Calibri"/>
        <family val="2"/>
      </rPr>
      <t>ww,t</t>
    </r>
    <r>
      <rPr>
        <sz val="10"/>
        <rFont val="Calibri"/>
        <family val="2"/>
      </rPr>
      <t>) = {[(əBCF</t>
    </r>
    <r>
      <rPr>
        <vertAlign val="subscript"/>
        <sz val="10"/>
        <rFont val="Calibri"/>
        <family val="2"/>
      </rPr>
      <t>ww,t</t>
    </r>
    <r>
      <rPr>
        <sz val="10"/>
        <rFont val="Calibri"/>
        <family val="2"/>
      </rPr>
      <t>/ə(1/ω))·SE(1/ω)]</t>
    </r>
    <r>
      <rPr>
        <vertAlign val="superscript"/>
        <sz val="10"/>
        <rFont val="Calibri"/>
        <family val="2"/>
      </rPr>
      <t>2</t>
    </r>
    <r>
      <rPr>
        <sz val="10"/>
        <rFont val="Calibri"/>
        <family val="2"/>
      </rPr>
      <t>+[(əBCF</t>
    </r>
    <r>
      <rPr>
        <vertAlign val="subscript"/>
        <sz val="10"/>
        <rFont val="Calibri"/>
        <family val="2"/>
      </rPr>
      <t>ww,t</t>
    </r>
    <r>
      <rPr>
        <sz val="10"/>
        <rFont val="Calibri"/>
        <family val="2"/>
      </rPr>
      <t>/əb</t>
    </r>
    <r>
      <rPr>
        <vertAlign val="subscript"/>
        <sz val="10"/>
        <rFont val="Calibri"/>
        <family val="2"/>
      </rPr>
      <t>1</t>
    </r>
    <r>
      <rPr>
        <sz val="10"/>
        <rFont val="Calibri"/>
        <family val="2"/>
      </rPr>
      <t>)·SE(b</t>
    </r>
    <r>
      <rPr>
        <vertAlign val="subscript"/>
        <sz val="10"/>
        <rFont val="Calibri"/>
        <family val="2"/>
      </rPr>
      <t>1</t>
    </r>
    <r>
      <rPr>
        <sz val="10"/>
        <rFont val="Calibri"/>
        <family val="2"/>
      </rPr>
      <t>)]</t>
    </r>
    <r>
      <rPr>
        <vertAlign val="superscript"/>
        <sz val="10"/>
        <rFont val="Calibri"/>
        <family val="2"/>
      </rPr>
      <t>2</t>
    </r>
    <r>
      <rPr>
        <sz val="10"/>
        <rFont val="Calibri"/>
        <family val="2"/>
      </rPr>
      <t>}</t>
    </r>
    <r>
      <rPr>
        <vertAlign val="superscript"/>
        <sz val="10"/>
        <rFont val="Calibri"/>
        <family val="2"/>
      </rPr>
      <t>0.5</t>
    </r>
    <r>
      <rPr>
        <sz val="10"/>
        <rFont val="Calibri"/>
        <family val="2"/>
      </rPr>
      <t>; if reference chemicals used="No", SE(BCF</t>
    </r>
    <r>
      <rPr>
        <vertAlign val="subscript"/>
        <sz val="10"/>
        <rFont val="Calibri"/>
        <family val="2"/>
      </rPr>
      <t>ww,t</t>
    </r>
    <r>
      <rPr>
        <sz val="10"/>
        <rFont val="Calibri"/>
        <family val="2"/>
      </rPr>
      <t>) = {[(əBCF</t>
    </r>
    <r>
      <rPr>
        <vertAlign val="subscript"/>
        <sz val="10"/>
        <rFont val="Calibri"/>
        <family val="2"/>
      </rPr>
      <t>ww,t</t>
    </r>
    <r>
      <rPr>
        <sz val="10"/>
        <rFont val="Calibri"/>
        <family val="2"/>
      </rPr>
      <t>/əW</t>
    </r>
    <r>
      <rPr>
        <vertAlign val="subscript"/>
        <sz val="10"/>
        <rFont val="Calibri"/>
        <family val="2"/>
      </rPr>
      <t>B</t>
    </r>
    <r>
      <rPr>
        <sz val="10"/>
        <rFont val="Calibri"/>
        <family val="2"/>
      </rPr>
      <t>)·SE(W</t>
    </r>
    <r>
      <rPr>
        <vertAlign val="subscript"/>
        <sz val="10"/>
        <rFont val="Calibri"/>
        <family val="2"/>
      </rPr>
      <t>B</t>
    </r>
    <r>
      <rPr>
        <sz val="10"/>
        <rFont val="Calibri"/>
        <family val="2"/>
      </rPr>
      <t>)]</t>
    </r>
    <r>
      <rPr>
        <vertAlign val="superscript"/>
        <sz val="10"/>
        <rFont val="Calibri"/>
        <family val="2"/>
      </rPr>
      <t>2</t>
    </r>
    <r>
      <rPr>
        <sz val="10"/>
        <rFont val="Calibri"/>
        <family val="2"/>
      </rPr>
      <t>+[(əBCF</t>
    </r>
    <r>
      <rPr>
        <vertAlign val="subscript"/>
        <sz val="10"/>
        <rFont val="Calibri"/>
        <family val="2"/>
      </rPr>
      <t>ww,t</t>
    </r>
    <r>
      <rPr>
        <sz val="10"/>
        <rFont val="Calibri"/>
        <family val="2"/>
      </rPr>
      <t>/əC</t>
    </r>
    <r>
      <rPr>
        <vertAlign val="subscript"/>
        <sz val="10"/>
        <rFont val="Calibri"/>
        <family val="2"/>
      </rPr>
      <t>OX</t>
    </r>
    <r>
      <rPr>
        <sz val="10"/>
        <rFont val="Calibri"/>
        <family val="2"/>
      </rPr>
      <t>)·SE(C</t>
    </r>
    <r>
      <rPr>
        <vertAlign val="subscript"/>
        <sz val="10"/>
        <rFont val="Calibri"/>
        <family val="2"/>
      </rPr>
      <t>OX</t>
    </r>
    <r>
      <rPr>
        <sz val="10"/>
        <rFont val="Calibri"/>
        <family val="2"/>
      </rPr>
      <t>)]</t>
    </r>
    <r>
      <rPr>
        <vertAlign val="superscript"/>
        <sz val="10"/>
        <rFont val="Calibri"/>
        <family val="2"/>
      </rPr>
      <t>2</t>
    </r>
    <r>
      <rPr>
        <sz val="10"/>
        <rFont val="Calibri"/>
        <family val="2"/>
      </rPr>
      <t>+[(əBCF</t>
    </r>
    <r>
      <rPr>
        <vertAlign val="subscript"/>
        <sz val="10"/>
        <rFont val="Calibri"/>
        <family val="2"/>
      </rPr>
      <t>ww,t</t>
    </r>
    <r>
      <rPr>
        <sz val="10"/>
        <rFont val="Calibri"/>
        <family val="2"/>
      </rPr>
      <t>/əb</t>
    </r>
    <r>
      <rPr>
        <vertAlign val="subscript"/>
        <sz val="10"/>
        <rFont val="Calibri"/>
        <family val="2"/>
      </rPr>
      <t>1</t>
    </r>
    <r>
      <rPr>
        <sz val="10"/>
        <rFont val="Calibri"/>
        <family val="2"/>
      </rPr>
      <t>)·SE(b</t>
    </r>
    <r>
      <rPr>
        <vertAlign val="subscript"/>
        <sz val="10"/>
        <rFont val="Calibri"/>
        <family val="2"/>
      </rPr>
      <t>1</t>
    </r>
    <r>
      <rPr>
        <sz val="10"/>
        <rFont val="Calibri"/>
        <family val="2"/>
      </rPr>
      <t>)]</t>
    </r>
    <r>
      <rPr>
        <vertAlign val="superscript"/>
        <sz val="10"/>
        <rFont val="Calibri"/>
        <family val="2"/>
      </rPr>
      <t>2</t>
    </r>
    <r>
      <rPr>
        <sz val="10"/>
        <rFont val="Calibri"/>
        <family val="2"/>
      </rPr>
      <t>+[(əBCF</t>
    </r>
    <r>
      <rPr>
        <vertAlign val="subscript"/>
        <sz val="10"/>
        <rFont val="Calibri"/>
        <family val="2"/>
      </rPr>
      <t>ww,t</t>
    </r>
    <r>
      <rPr>
        <sz val="10"/>
        <rFont val="Calibri"/>
        <family val="2"/>
      </rPr>
      <t>/əC</t>
    </r>
    <r>
      <rPr>
        <vertAlign val="subscript"/>
        <sz val="10"/>
        <rFont val="Calibri"/>
        <family val="2"/>
      </rPr>
      <t>1</t>
    </r>
    <r>
      <rPr>
        <sz val="10"/>
        <rFont val="Calibri"/>
        <family val="2"/>
      </rPr>
      <t>)·SE(C</t>
    </r>
    <r>
      <rPr>
        <vertAlign val="subscript"/>
        <sz val="10"/>
        <rFont val="Calibri"/>
        <family val="2"/>
      </rPr>
      <t>1</t>
    </r>
    <r>
      <rPr>
        <sz val="10"/>
        <rFont val="Calibri"/>
        <family val="2"/>
      </rPr>
      <t>)]</t>
    </r>
    <r>
      <rPr>
        <vertAlign val="superscript"/>
        <sz val="10"/>
        <rFont val="Calibri"/>
        <family val="2"/>
      </rPr>
      <t>2</t>
    </r>
    <r>
      <rPr>
        <sz val="10"/>
        <rFont val="Calibri"/>
        <family val="2"/>
      </rPr>
      <t>+[(əBCF</t>
    </r>
    <r>
      <rPr>
        <vertAlign val="subscript"/>
        <sz val="10"/>
        <rFont val="Calibri"/>
        <family val="2"/>
      </rPr>
      <t>ww,t</t>
    </r>
    <r>
      <rPr>
        <sz val="10"/>
        <rFont val="Calibri"/>
        <family val="2"/>
      </rPr>
      <t>/əC</t>
    </r>
    <r>
      <rPr>
        <vertAlign val="subscript"/>
        <sz val="10"/>
        <rFont val="Calibri"/>
        <family val="2"/>
      </rPr>
      <t>2</t>
    </r>
    <r>
      <rPr>
        <sz val="10"/>
        <rFont val="Calibri"/>
        <family val="2"/>
      </rPr>
      <t>)·SE(C</t>
    </r>
    <r>
      <rPr>
        <vertAlign val="subscript"/>
        <sz val="10"/>
        <rFont val="Calibri"/>
        <family val="2"/>
      </rPr>
      <t>2</t>
    </r>
    <r>
      <rPr>
        <sz val="10"/>
        <rFont val="Calibri"/>
        <family val="2"/>
      </rPr>
      <t>)]</t>
    </r>
    <r>
      <rPr>
        <vertAlign val="superscript"/>
        <sz val="10"/>
        <rFont val="Calibri"/>
        <family val="2"/>
      </rPr>
      <t>2</t>
    </r>
    <r>
      <rPr>
        <sz val="10"/>
        <rFont val="Calibri"/>
        <family val="2"/>
      </rPr>
      <t>+2·(əBCF</t>
    </r>
    <r>
      <rPr>
        <vertAlign val="subscript"/>
        <sz val="10"/>
        <rFont val="Calibri"/>
        <family val="2"/>
      </rPr>
      <t>ww,t</t>
    </r>
    <r>
      <rPr>
        <sz val="10"/>
        <rFont val="Calibri"/>
        <family val="2"/>
      </rPr>
      <t>/əC</t>
    </r>
    <r>
      <rPr>
        <vertAlign val="subscript"/>
        <sz val="10"/>
        <rFont val="Calibri"/>
        <family val="2"/>
      </rPr>
      <t>1</t>
    </r>
    <r>
      <rPr>
        <sz val="10"/>
        <rFont val="Calibri"/>
        <family val="2"/>
      </rPr>
      <t>)·(əBCF</t>
    </r>
    <r>
      <rPr>
        <vertAlign val="subscript"/>
        <sz val="10"/>
        <rFont val="Calibri"/>
        <family val="2"/>
      </rPr>
      <t>ww,t</t>
    </r>
    <r>
      <rPr>
        <sz val="10"/>
        <rFont val="Calibri"/>
        <family val="2"/>
      </rPr>
      <t>/əC</t>
    </r>
    <r>
      <rPr>
        <vertAlign val="subscript"/>
        <sz val="10"/>
        <rFont val="Calibri"/>
        <family val="2"/>
      </rPr>
      <t>2</t>
    </r>
    <r>
      <rPr>
        <sz val="10"/>
        <rFont val="Calibri"/>
        <family val="2"/>
      </rPr>
      <t>)·Cov(C</t>
    </r>
    <r>
      <rPr>
        <vertAlign val="subscript"/>
        <sz val="10"/>
        <rFont val="Calibri"/>
        <family val="2"/>
      </rPr>
      <t>1</t>
    </r>
    <r>
      <rPr>
        <sz val="10"/>
        <rFont val="Calibri"/>
        <family val="2"/>
      </rPr>
      <t>,C</t>
    </r>
    <r>
      <rPr>
        <vertAlign val="subscript"/>
        <sz val="10"/>
        <rFont val="Calibri"/>
        <family val="2"/>
      </rPr>
      <t>2</t>
    </r>
    <r>
      <rPr>
        <sz val="10"/>
        <rFont val="Calibri"/>
        <family val="2"/>
      </rPr>
      <t>)+[(əBCF</t>
    </r>
    <r>
      <rPr>
        <vertAlign val="subscript"/>
        <sz val="10"/>
        <rFont val="Calibri"/>
        <family val="2"/>
      </rPr>
      <t>ww,t</t>
    </r>
    <r>
      <rPr>
        <sz val="10"/>
        <rFont val="Calibri"/>
        <family val="2"/>
      </rPr>
      <t>/əC</t>
    </r>
    <r>
      <rPr>
        <vertAlign val="subscript"/>
        <sz val="10"/>
        <rFont val="Calibri"/>
        <family val="2"/>
      </rPr>
      <t>3</t>
    </r>
    <r>
      <rPr>
        <sz val="10"/>
        <rFont val="Calibri"/>
        <family val="2"/>
      </rPr>
      <t>)·SE(C</t>
    </r>
    <r>
      <rPr>
        <vertAlign val="subscript"/>
        <sz val="10"/>
        <rFont val="Calibri"/>
        <family val="2"/>
      </rPr>
      <t>3</t>
    </r>
    <r>
      <rPr>
        <sz val="10"/>
        <rFont val="Calibri"/>
        <family val="2"/>
      </rPr>
      <t>)]</t>
    </r>
    <r>
      <rPr>
        <vertAlign val="superscript"/>
        <sz val="10"/>
        <rFont val="Calibri"/>
        <family val="2"/>
      </rPr>
      <t>2</t>
    </r>
    <r>
      <rPr>
        <sz val="10"/>
        <rFont val="Calibri"/>
        <family val="2"/>
      </rPr>
      <t>+[(əBCF</t>
    </r>
    <r>
      <rPr>
        <vertAlign val="subscript"/>
        <sz val="10"/>
        <rFont val="Calibri"/>
        <family val="2"/>
      </rPr>
      <t>ww,t</t>
    </r>
    <r>
      <rPr>
        <sz val="10"/>
        <rFont val="Calibri"/>
        <family val="2"/>
      </rPr>
      <t>/əC</t>
    </r>
    <r>
      <rPr>
        <vertAlign val="subscript"/>
        <sz val="10"/>
        <rFont val="Calibri"/>
        <family val="2"/>
      </rPr>
      <t>4</t>
    </r>
    <r>
      <rPr>
        <sz val="10"/>
        <rFont val="Calibri"/>
        <family val="2"/>
      </rPr>
      <t>)·SE(C</t>
    </r>
    <r>
      <rPr>
        <vertAlign val="subscript"/>
        <sz val="10"/>
        <rFont val="Calibri"/>
        <family val="2"/>
      </rPr>
      <t>4</t>
    </r>
    <r>
      <rPr>
        <sz val="10"/>
        <rFont val="Calibri"/>
        <family val="2"/>
      </rPr>
      <t>)]</t>
    </r>
    <r>
      <rPr>
        <vertAlign val="superscript"/>
        <sz val="10"/>
        <rFont val="Calibri"/>
        <family val="2"/>
      </rPr>
      <t>2</t>
    </r>
    <r>
      <rPr>
        <sz val="10"/>
        <rFont val="Calibri"/>
        <family val="2"/>
      </rPr>
      <t>+2·(əBCF</t>
    </r>
    <r>
      <rPr>
        <vertAlign val="subscript"/>
        <sz val="10"/>
        <rFont val="Calibri"/>
        <family val="2"/>
      </rPr>
      <t>ww,t</t>
    </r>
    <r>
      <rPr>
        <sz val="10"/>
        <rFont val="Calibri"/>
        <family val="2"/>
      </rPr>
      <t>/əC</t>
    </r>
    <r>
      <rPr>
        <vertAlign val="subscript"/>
        <sz val="10"/>
        <rFont val="Calibri"/>
        <family val="2"/>
      </rPr>
      <t>3</t>
    </r>
    <r>
      <rPr>
        <sz val="10"/>
        <rFont val="Calibri"/>
        <family val="2"/>
      </rPr>
      <t>)·(əBCF</t>
    </r>
    <r>
      <rPr>
        <vertAlign val="subscript"/>
        <sz val="10"/>
        <rFont val="Calibri"/>
        <family val="2"/>
      </rPr>
      <t>ww,t</t>
    </r>
    <r>
      <rPr>
        <sz val="10"/>
        <rFont val="Calibri"/>
        <family val="2"/>
      </rPr>
      <t>/əC</t>
    </r>
    <r>
      <rPr>
        <vertAlign val="subscript"/>
        <sz val="10"/>
        <rFont val="Calibri"/>
        <family val="2"/>
      </rPr>
      <t>4</t>
    </r>
    <r>
      <rPr>
        <sz val="10"/>
        <rFont val="Calibri"/>
        <family val="2"/>
      </rPr>
      <t>)·Cov(C</t>
    </r>
    <r>
      <rPr>
        <vertAlign val="subscript"/>
        <sz val="10"/>
        <rFont val="Calibri"/>
        <family val="2"/>
      </rPr>
      <t>3</t>
    </r>
    <r>
      <rPr>
        <sz val="10"/>
        <rFont val="Calibri"/>
        <family val="2"/>
      </rPr>
      <t>,C</t>
    </r>
    <r>
      <rPr>
        <vertAlign val="subscript"/>
        <sz val="10"/>
        <rFont val="Calibri"/>
        <family val="2"/>
      </rPr>
      <t>4</t>
    </r>
    <r>
      <rPr>
        <sz val="10"/>
        <rFont val="Calibri"/>
        <family val="2"/>
      </rPr>
      <t>)}</t>
    </r>
    <r>
      <rPr>
        <vertAlign val="superscript"/>
        <sz val="10"/>
        <rFont val="Calibri"/>
        <family val="2"/>
      </rPr>
      <t>0.5</t>
    </r>
  </si>
  <si>
    <r>
      <t>S</t>
    </r>
    <r>
      <rPr>
        <vertAlign val="subscript"/>
        <sz val="10"/>
        <rFont val="Calibri"/>
        <family val="2"/>
      </rPr>
      <t>W</t>
    </r>
  </si>
  <si>
    <r>
      <t>Intercept in linear regression: lnC</t>
    </r>
    <r>
      <rPr>
        <vertAlign val="subscript"/>
        <sz val="10"/>
        <rFont val="Calibri"/>
        <family val="2"/>
      </rPr>
      <t>B</t>
    </r>
    <r>
      <rPr>
        <sz val="10"/>
        <rFont val="Calibri"/>
        <family val="2"/>
      </rPr>
      <t xml:space="preserve"> = b</t>
    </r>
    <r>
      <rPr>
        <vertAlign val="subscript"/>
        <sz val="10"/>
        <rFont val="Calibri"/>
        <family val="2"/>
      </rPr>
      <t>0</t>
    </r>
    <r>
      <rPr>
        <sz val="10"/>
        <rFont val="Calibri"/>
        <family val="2"/>
      </rPr>
      <t>+b</t>
    </r>
    <r>
      <rPr>
        <vertAlign val="subscript"/>
        <sz val="10"/>
        <rFont val="Calibri"/>
        <family val="2"/>
      </rPr>
      <t>1</t>
    </r>
    <r>
      <rPr>
        <sz val="10"/>
        <rFont val="Calibri"/>
        <family val="2"/>
      </rPr>
      <t>·t</t>
    </r>
  </si>
  <si>
    <r>
      <t>Slope in linear regression: lnC</t>
    </r>
    <r>
      <rPr>
        <vertAlign val="subscript"/>
        <sz val="10"/>
        <rFont val="Calibri"/>
        <family val="2"/>
      </rPr>
      <t>B</t>
    </r>
    <r>
      <rPr>
        <sz val="10"/>
        <rFont val="Calibri"/>
        <family val="2"/>
      </rPr>
      <t xml:space="preserve"> = b</t>
    </r>
    <r>
      <rPr>
        <vertAlign val="subscript"/>
        <sz val="10"/>
        <rFont val="Calibri"/>
        <family val="2"/>
      </rPr>
      <t>0</t>
    </r>
    <r>
      <rPr>
        <sz val="10"/>
        <rFont val="Calibri"/>
        <family val="2"/>
      </rPr>
      <t>+b</t>
    </r>
    <r>
      <rPr>
        <vertAlign val="subscript"/>
        <sz val="10"/>
        <rFont val="Calibri"/>
        <family val="2"/>
      </rPr>
      <t>1</t>
    </r>
    <r>
      <rPr>
        <sz val="10"/>
        <rFont val="Calibri"/>
        <family val="2"/>
      </rPr>
      <t>·t</t>
    </r>
  </si>
  <si>
    <r>
      <t>- In BMF</t>
    </r>
    <r>
      <rPr>
        <vertAlign val="subscript"/>
        <sz val="10"/>
        <rFont val="Calibri"/>
        <family val="2"/>
      </rPr>
      <t>L</t>
    </r>
    <r>
      <rPr>
        <sz val="10"/>
        <rFont val="Calibri"/>
        <family val="2"/>
      </rPr>
      <t xml:space="preserve"> related statistical tests, the degrees of freedom are approximated as the degrees of freedom in the depuration regression (i.e., number of observations - 2).</t>
    </r>
  </si>
  <si>
    <r>
      <t>- In BCF</t>
    </r>
    <r>
      <rPr>
        <vertAlign val="subscript"/>
        <sz val="10"/>
        <rFont val="Calibri"/>
        <family val="2"/>
      </rPr>
      <t>5%,t</t>
    </r>
    <r>
      <rPr>
        <sz val="10"/>
        <rFont val="Calibri"/>
        <family val="2"/>
      </rPr>
      <t xml:space="preserve"> related statistical tests, the degrees of freedom are approximated as the lowest degrees of freedom in the involved regressions (i.e., number of observations - number of regression coefficients). </t>
    </r>
  </si>
  <si>
    <t>Aqueous phase respiratory rate constant</t>
  </si>
  <si>
    <r>
      <t>If reference chemicals used="No", k</t>
    </r>
    <r>
      <rPr>
        <vertAlign val="subscript"/>
        <sz val="10"/>
        <rFont val="Calibri"/>
        <family val="2"/>
      </rPr>
      <t>B2</t>
    </r>
    <r>
      <rPr>
        <sz val="10"/>
        <rFont val="Calibri"/>
        <family val="2"/>
      </rPr>
      <t xml:space="preserve"> = E</t>
    </r>
    <r>
      <rPr>
        <vertAlign val="subscript"/>
        <sz val="10"/>
        <rFont val="Calibri"/>
        <family val="2"/>
      </rPr>
      <t>W</t>
    </r>
    <r>
      <rPr>
        <sz val="10"/>
        <rFont val="Calibri"/>
        <family val="2"/>
      </rPr>
      <t>·G</t>
    </r>
    <r>
      <rPr>
        <vertAlign val="subscript"/>
        <sz val="10"/>
        <rFont val="Calibri"/>
        <family val="2"/>
      </rPr>
      <t>V</t>
    </r>
    <r>
      <rPr>
        <sz val="10"/>
        <rFont val="Calibri"/>
        <family val="2"/>
      </rPr>
      <t>/(W</t>
    </r>
    <r>
      <rPr>
        <vertAlign val="subscript"/>
        <sz val="10"/>
        <rFont val="Calibri"/>
        <family val="2"/>
      </rPr>
      <t>B</t>
    </r>
    <r>
      <rPr>
        <sz val="10"/>
        <rFont val="Calibri"/>
        <family val="2"/>
      </rPr>
      <t>·K</t>
    </r>
    <r>
      <rPr>
        <vertAlign val="subscript"/>
        <sz val="10"/>
        <rFont val="Calibri"/>
        <family val="2"/>
      </rPr>
      <t>BW</t>
    </r>
    <r>
      <rPr>
        <sz val="10"/>
        <rFont val="Calibri"/>
        <family val="2"/>
      </rPr>
      <t>); if reference chemicals used="Yes", k</t>
    </r>
    <r>
      <rPr>
        <vertAlign val="subscript"/>
        <sz val="10"/>
        <rFont val="Calibri"/>
        <family val="2"/>
      </rPr>
      <t>B2</t>
    </r>
    <r>
      <rPr>
        <sz val="10"/>
        <rFont val="Calibri"/>
        <family val="2"/>
      </rPr>
      <t xml:space="preserve"> = (1/ω)·(1/K</t>
    </r>
    <r>
      <rPr>
        <vertAlign val="subscript"/>
        <sz val="10"/>
        <rFont val="Calibri"/>
        <family val="2"/>
      </rPr>
      <t>OW</t>
    </r>
    <r>
      <rPr>
        <sz val="10"/>
        <rFont val="Calibri"/>
        <family val="2"/>
      </rPr>
      <t>)</t>
    </r>
  </si>
  <si>
    <r>
      <t>Default (reference chemicals used="Yes"): 1/ω = k</t>
    </r>
    <r>
      <rPr>
        <vertAlign val="subscript"/>
        <sz val="10"/>
        <rFont val="Calibri"/>
        <family val="2"/>
      </rPr>
      <t>B2</t>
    </r>
    <r>
      <rPr>
        <sz val="10"/>
        <rFont val="Calibri"/>
        <family val="2"/>
      </rPr>
      <t>·K</t>
    </r>
    <r>
      <rPr>
        <vertAlign val="subscript"/>
        <sz val="10"/>
        <rFont val="Calibri"/>
        <family val="2"/>
      </rPr>
      <t>OW</t>
    </r>
    <r>
      <rPr>
        <sz val="10"/>
        <rFont val="Calibri"/>
        <family val="2"/>
      </rPr>
      <t xml:space="preserve"> =  E</t>
    </r>
    <r>
      <rPr>
        <vertAlign val="subscript"/>
        <sz val="10"/>
        <rFont val="Calibri"/>
        <family val="2"/>
      </rPr>
      <t>W</t>
    </r>
    <r>
      <rPr>
        <sz val="10"/>
        <rFont val="Calibri"/>
        <family val="2"/>
      </rPr>
      <t>·G</t>
    </r>
    <r>
      <rPr>
        <vertAlign val="subscript"/>
        <sz val="10"/>
        <rFont val="Calibri"/>
        <family val="2"/>
      </rPr>
      <t>V</t>
    </r>
    <r>
      <rPr>
        <sz val="10"/>
        <rFont val="Calibri"/>
        <family val="2"/>
      </rPr>
      <t>·K</t>
    </r>
    <r>
      <rPr>
        <vertAlign val="subscript"/>
        <sz val="10"/>
        <rFont val="Calibri"/>
        <family val="2"/>
      </rPr>
      <t>OW</t>
    </r>
    <r>
      <rPr>
        <sz val="10"/>
        <rFont val="Calibri"/>
        <family val="2"/>
      </rPr>
      <t>/(W</t>
    </r>
    <r>
      <rPr>
        <vertAlign val="subscript"/>
        <sz val="10"/>
        <rFont val="Calibri"/>
        <family val="2"/>
      </rPr>
      <t>B</t>
    </r>
    <r>
      <rPr>
        <sz val="10"/>
        <rFont val="Calibri"/>
        <family val="2"/>
      </rPr>
      <t>·K</t>
    </r>
    <r>
      <rPr>
        <vertAlign val="subscript"/>
        <sz val="10"/>
        <rFont val="Calibri"/>
        <family val="2"/>
      </rPr>
      <t>BW</t>
    </r>
    <r>
      <rPr>
        <sz val="10"/>
        <rFont val="Calibri"/>
        <family val="2"/>
      </rPr>
      <t>)</t>
    </r>
  </si>
  <si>
    <t>Default: obtained from input data in Part 3</t>
  </si>
  <si>
    <r>
      <t>Estimated p-value (BMF</t>
    </r>
    <r>
      <rPr>
        <vertAlign val="subscript"/>
        <sz val="10"/>
        <rFont val="Calibri"/>
        <family val="2"/>
      </rPr>
      <t>L</t>
    </r>
    <r>
      <rPr>
        <sz val="10"/>
        <rFont val="Calibri"/>
        <family val="2"/>
      </rPr>
      <t xml:space="preserve"> &gt; 1)</t>
    </r>
  </si>
  <si>
    <r>
      <t>Estimated p-value (BCF</t>
    </r>
    <r>
      <rPr>
        <vertAlign val="subscript"/>
        <sz val="10"/>
        <rFont val="Calibri"/>
        <family val="2"/>
      </rPr>
      <t>5%,t</t>
    </r>
    <r>
      <rPr>
        <sz val="10"/>
        <rFont val="Calibri"/>
        <family val="2"/>
      </rPr>
      <t xml:space="preserve"> &gt; 5000)</t>
    </r>
  </si>
  <si>
    <r>
      <t>Estimated p-value (BCF</t>
    </r>
    <r>
      <rPr>
        <vertAlign val="subscript"/>
        <sz val="10"/>
        <rFont val="Calibri"/>
        <family val="2"/>
      </rPr>
      <t>5%,t</t>
    </r>
    <r>
      <rPr>
        <sz val="10"/>
        <rFont val="Calibri"/>
        <family val="2"/>
      </rPr>
      <t xml:space="preserve"> &gt; 2000)</t>
    </r>
  </si>
  <si>
    <r>
      <t>Default: estimated intercept in simple linear regression lnC</t>
    </r>
    <r>
      <rPr>
        <vertAlign val="subscript"/>
        <sz val="10"/>
        <rFont val="Calibri"/>
        <family val="2"/>
      </rPr>
      <t>B</t>
    </r>
    <r>
      <rPr>
        <sz val="10"/>
        <rFont val="Calibri"/>
        <family val="2"/>
      </rPr>
      <t xml:space="preserve"> = b</t>
    </r>
    <r>
      <rPr>
        <vertAlign val="subscript"/>
        <sz val="10"/>
        <rFont val="Calibri"/>
        <family val="2"/>
      </rPr>
      <t>0</t>
    </r>
    <r>
      <rPr>
        <sz val="10"/>
        <rFont val="Calibri"/>
        <family val="2"/>
      </rPr>
      <t>+b</t>
    </r>
    <r>
      <rPr>
        <vertAlign val="subscript"/>
        <sz val="10"/>
        <rFont val="Calibri"/>
        <family val="2"/>
      </rPr>
      <t>1</t>
    </r>
    <r>
      <rPr>
        <sz val="10"/>
        <rFont val="Calibri"/>
        <family val="2"/>
      </rPr>
      <t>·t based on input data in Part 3</t>
    </r>
  </si>
  <si>
    <r>
      <t>Default: estimated slope in simple linear regression lnC</t>
    </r>
    <r>
      <rPr>
        <vertAlign val="subscript"/>
        <sz val="10"/>
        <rFont val="Calibri"/>
        <family val="2"/>
      </rPr>
      <t>B</t>
    </r>
    <r>
      <rPr>
        <sz val="10"/>
        <rFont val="Calibri"/>
        <family val="2"/>
      </rPr>
      <t xml:space="preserve"> = b</t>
    </r>
    <r>
      <rPr>
        <vertAlign val="subscript"/>
        <sz val="10"/>
        <rFont val="Calibri"/>
        <family val="2"/>
      </rPr>
      <t>0</t>
    </r>
    <r>
      <rPr>
        <sz val="10"/>
        <rFont val="Calibri"/>
        <family val="2"/>
      </rPr>
      <t>+b</t>
    </r>
    <r>
      <rPr>
        <vertAlign val="subscript"/>
        <sz val="10"/>
        <rFont val="Calibri"/>
        <family val="2"/>
      </rPr>
      <t>1</t>
    </r>
    <r>
      <rPr>
        <sz val="10"/>
        <rFont val="Calibri"/>
        <family val="2"/>
      </rPr>
      <t>·t based on input data in Part 3</t>
    </r>
  </si>
  <si>
    <r>
      <t>Default: Cov(b</t>
    </r>
    <r>
      <rPr>
        <vertAlign val="subscript"/>
        <sz val="10"/>
        <rFont val="Calibri"/>
        <family val="2"/>
      </rPr>
      <t>0</t>
    </r>
    <r>
      <rPr>
        <sz val="10"/>
        <rFont val="Calibri"/>
        <family val="2"/>
      </rPr>
      <t>,b</t>
    </r>
    <r>
      <rPr>
        <vertAlign val="subscript"/>
        <sz val="10"/>
        <rFont val="Calibri"/>
        <family val="2"/>
      </rPr>
      <t>1</t>
    </r>
    <r>
      <rPr>
        <sz val="10"/>
        <rFont val="Calibri"/>
        <family val="2"/>
      </rPr>
      <t>) = -Ave(t)·Var(b</t>
    </r>
    <r>
      <rPr>
        <vertAlign val="subscript"/>
        <sz val="10"/>
        <rFont val="Calibri"/>
        <family val="2"/>
      </rPr>
      <t>1</t>
    </r>
    <r>
      <rPr>
        <sz val="10"/>
        <rFont val="Calibri"/>
        <family val="2"/>
      </rPr>
      <t>) (Var(b</t>
    </r>
    <r>
      <rPr>
        <vertAlign val="subscript"/>
        <sz val="10"/>
        <rFont val="Calibri"/>
        <family val="2"/>
      </rPr>
      <t>1</t>
    </r>
    <r>
      <rPr>
        <sz val="10"/>
        <rFont val="Calibri"/>
        <family val="2"/>
      </rPr>
      <t>) = variance of b</t>
    </r>
    <r>
      <rPr>
        <vertAlign val="subscript"/>
        <sz val="10"/>
        <rFont val="Calibri"/>
        <family val="2"/>
      </rPr>
      <t>1</t>
    </r>
    <r>
      <rPr>
        <sz val="10"/>
        <rFont val="Calibri"/>
        <family val="2"/>
      </rPr>
      <t>), calculated based on input data in Part 3</t>
    </r>
  </si>
  <si>
    <r>
      <t>Default: Ave(t) = Σt</t>
    </r>
    <r>
      <rPr>
        <vertAlign val="subscript"/>
        <sz val="10"/>
        <rFont val="Calibri"/>
        <family val="2"/>
      </rPr>
      <t>i</t>
    </r>
    <r>
      <rPr>
        <sz val="10"/>
        <rFont val="Calibri"/>
        <family val="2"/>
      </rPr>
      <t>/n (n = number of observations; i = 1 to n), calculated based on input data in Part 3</t>
    </r>
  </si>
  <si>
    <t>p-Value</t>
  </si>
  <si>
    <t>Rate constant for fecal egestion from the fish body</t>
  </si>
  <si>
    <r>
      <t>k</t>
    </r>
    <r>
      <rPr>
        <vertAlign val="subscript"/>
        <sz val="10"/>
        <rFont val="Calibri"/>
        <family val="2"/>
      </rPr>
      <t>BE</t>
    </r>
  </si>
  <si>
    <r>
      <t>k</t>
    </r>
    <r>
      <rPr>
        <vertAlign val="subscript"/>
        <sz val="10"/>
        <rFont val="Calibri"/>
        <family val="2"/>
      </rPr>
      <t xml:space="preserve">BE </t>
    </r>
    <r>
      <rPr>
        <sz val="10"/>
        <rFont val="Calibri"/>
        <family val="2"/>
      </rPr>
      <t>= k</t>
    </r>
    <r>
      <rPr>
        <vertAlign val="subscript"/>
        <sz val="10"/>
        <rFont val="Calibri"/>
        <family val="2"/>
      </rPr>
      <t>BG</t>
    </r>
    <r>
      <rPr>
        <sz val="10"/>
        <rFont val="Calibri"/>
        <family val="2"/>
      </rPr>
      <t>·(k</t>
    </r>
    <r>
      <rPr>
        <vertAlign val="subscript"/>
        <sz val="10"/>
        <rFont val="Calibri"/>
        <family val="2"/>
      </rPr>
      <t>GE</t>
    </r>
    <r>
      <rPr>
        <sz val="10"/>
        <rFont val="Calibri"/>
        <family val="2"/>
      </rPr>
      <t>+k</t>
    </r>
    <r>
      <rPr>
        <vertAlign val="subscript"/>
        <sz val="10"/>
        <rFont val="Calibri"/>
        <family val="2"/>
      </rPr>
      <t>GM</t>
    </r>
    <r>
      <rPr>
        <sz val="10"/>
        <rFont val="Calibri"/>
        <family val="2"/>
      </rPr>
      <t>)/·(k</t>
    </r>
    <r>
      <rPr>
        <vertAlign val="subscript"/>
        <sz val="10"/>
        <rFont val="Calibri"/>
        <family val="2"/>
      </rPr>
      <t>GB</t>
    </r>
    <r>
      <rPr>
        <sz val="10"/>
        <rFont val="Calibri"/>
        <family val="2"/>
      </rPr>
      <t>+k</t>
    </r>
    <r>
      <rPr>
        <vertAlign val="subscript"/>
        <sz val="10"/>
        <rFont val="Calibri"/>
        <family val="2"/>
      </rPr>
      <t>GE</t>
    </r>
    <r>
      <rPr>
        <sz val="10"/>
        <rFont val="Calibri"/>
        <family val="2"/>
      </rPr>
      <t>+k</t>
    </r>
    <r>
      <rPr>
        <vertAlign val="subscript"/>
        <sz val="10"/>
        <rFont val="Calibri"/>
        <family val="2"/>
      </rPr>
      <t>GM</t>
    </r>
    <r>
      <rPr>
        <sz val="10"/>
        <rFont val="Calibri"/>
        <family val="2"/>
      </rPr>
      <t>)</t>
    </r>
  </si>
  <si>
    <r>
      <t>Standard error of k</t>
    </r>
    <r>
      <rPr>
        <vertAlign val="subscript"/>
        <sz val="10"/>
        <rFont val="Calibri"/>
        <family val="2"/>
      </rPr>
      <t>BE</t>
    </r>
  </si>
  <si>
    <r>
      <t>SE(k</t>
    </r>
    <r>
      <rPr>
        <vertAlign val="subscript"/>
        <sz val="10"/>
        <rFont val="Calibri"/>
        <family val="2"/>
      </rPr>
      <t>BE</t>
    </r>
    <r>
      <rPr>
        <sz val="10"/>
        <rFont val="Calibri"/>
        <family val="2"/>
      </rPr>
      <t>)</t>
    </r>
  </si>
  <si>
    <r>
      <t>Partial derivative of k</t>
    </r>
    <r>
      <rPr>
        <vertAlign val="subscript"/>
        <sz val="10"/>
        <rFont val="Calibri"/>
        <family val="2"/>
      </rPr>
      <t>BE</t>
    </r>
    <r>
      <rPr>
        <sz val="10"/>
        <rFont val="Calibri"/>
        <family val="2"/>
      </rPr>
      <t xml:space="preserve"> with respect to F</t>
    </r>
    <r>
      <rPr>
        <vertAlign val="subscript"/>
        <sz val="10"/>
        <rFont val="Calibri"/>
        <family val="2"/>
      </rPr>
      <t>D</t>
    </r>
  </si>
  <si>
    <r>
      <t>ək</t>
    </r>
    <r>
      <rPr>
        <vertAlign val="subscript"/>
        <sz val="10"/>
        <rFont val="Calibri"/>
        <family val="2"/>
      </rPr>
      <t>BE</t>
    </r>
    <r>
      <rPr>
        <sz val="10"/>
        <rFont val="Calibri"/>
        <family val="2"/>
      </rPr>
      <t>/əF</t>
    </r>
    <r>
      <rPr>
        <vertAlign val="subscript"/>
        <sz val="10"/>
        <rFont val="Calibri"/>
        <family val="2"/>
      </rPr>
      <t>D</t>
    </r>
  </si>
  <si>
    <r>
      <t>Partial derivative of k</t>
    </r>
    <r>
      <rPr>
        <vertAlign val="subscript"/>
        <sz val="10"/>
        <rFont val="Calibri"/>
        <family val="2"/>
      </rPr>
      <t>BE</t>
    </r>
    <r>
      <rPr>
        <sz val="10"/>
        <rFont val="Calibri"/>
        <family val="2"/>
      </rPr>
      <t xml:space="preserve"> with respect to C</t>
    </r>
    <r>
      <rPr>
        <vertAlign val="subscript"/>
        <sz val="10"/>
        <rFont val="Calibri"/>
        <family val="2"/>
      </rPr>
      <t>D</t>
    </r>
  </si>
  <si>
    <r>
      <t>ək</t>
    </r>
    <r>
      <rPr>
        <vertAlign val="subscript"/>
        <sz val="10"/>
        <rFont val="Calibri"/>
        <family val="2"/>
      </rPr>
      <t>BE</t>
    </r>
    <r>
      <rPr>
        <sz val="10"/>
        <rFont val="Calibri"/>
        <family val="2"/>
      </rPr>
      <t>/əC</t>
    </r>
    <r>
      <rPr>
        <vertAlign val="subscript"/>
        <sz val="10"/>
        <rFont val="Calibri"/>
        <family val="2"/>
      </rPr>
      <t>D</t>
    </r>
  </si>
  <si>
    <r>
      <t>Partial derivative of k</t>
    </r>
    <r>
      <rPr>
        <vertAlign val="subscript"/>
        <sz val="10"/>
        <rFont val="Calibri"/>
        <family val="2"/>
      </rPr>
      <t>BE</t>
    </r>
    <r>
      <rPr>
        <sz val="10"/>
        <rFont val="Calibri"/>
        <family val="2"/>
      </rPr>
      <t xml:space="preserve"> with respect to b</t>
    </r>
    <r>
      <rPr>
        <vertAlign val="subscript"/>
        <sz val="10"/>
        <rFont val="Calibri"/>
        <family val="2"/>
      </rPr>
      <t>0</t>
    </r>
  </si>
  <si>
    <r>
      <t>ək</t>
    </r>
    <r>
      <rPr>
        <vertAlign val="subscript"/>
        <sz val="10"/>
        <rFont val="Calibri"/>
        <family val="2"/>
      </rPr>
      <t>BE</t>
    </r>
    <r>
      <rPr>
        <sz val="10"/>
        <rFont val="Calibri"/>
        <family val="2"/>
      </rPr>
      <t>/əb</t>
    </r>
    <r>
      <rPr>
        <vertAlign val="subscript"/>
        <sz val="10"/>
        <rFont val="Calibri"/>
        <family val="2"/>
      </rPr>
      <t>0</t>
    </r>
  </si>
  <si>
    <r>
      <t>Partial derivative of k</t>
    </r>
    <r>
      <rPr>
        <vertAlign val="subscript"/>
        <sz val="10"/>
        <rFont val="Calibri"/>
        <family val="2"/>
      </rPr>
      <t>BE</t>
    </r>
    <r>
      <rPr>
        <sz val="10"/>
        <rFont val="Calibri"/>
        <family val="2"/>
      </rPr>
      <t xml:space="preserve"> with respect to b</t>
    </r>
    <r>
      <rPr>
        <vertAlign val="subscript"/>
        <sz val="10"/>
        <rFont val="Calibri"/>
        <family val="2"/>
      </rPr>
      <t>1</t>
    </r>
  </si>
  <si>
    <r>
      <t>ək</t>
    </r>
    <r>
      <rPr>
        <vertAlign val="subscript"/>
        <sz val="10"/>
        <rFont val="Calibri"/>
        <family val="2"/>
      </rPr>
      <t>BE</t>
    </r>
    <r>
      <rPr>
        <sz val="10"/>
        <rFont val="Calibri"/>
        <family val="2"/>
      </rPr>
      <t>/əb</t>
    </r>
    <r>
      <rPr>
        <vertAlign val="subscript"/>
        <sz val="10"/>
        <rFont val="Calibri"/>
        <family val="2"/>
      </rPr>
      <t>1</t>
    </r>
  </si>
  <si>
    <r>
      <t>E</t>
    </r>
    <r>
      <rPr>
        <vertAlign val="subscript"/>
        <sz val="10"/>
        <rFont val="Calibri"/>
        <family val="2"/>
      </rPr>
      <t>D</t>
    </r>
  </si>
  <si>
    <r>
      <t>E</t>
    </r>
    <r>
      <rPr>
        <vertAlign val="subscript"/>
        <sz val="10"/>
        <rFont val="Calibri"/>
        <family val="2"/>
      </rPr>
      <t>D,R</t>
    </r>
  </si>
  <si>
    <r>
      <t>If reference chemicals used="No", E</t>
    </r>
    <r>
      <rPr>
        <vertAlign val="subscript"/>
        <sz val="10"/>
        <rFont val="Calibri"/>
        <family val="2"/>
      </rPr>
      <t>D,R</t>
    </r>
    <r>
      <rPr>
        <sz val="10"/>
        <rFont val="Calibri"/>
        <family val="2"/>
      </rPr>
      <t xml:space="preserve"> = (5.6E-9·K</t>
    </r>
    <r>
      <rPr>
        <vertAlign val="subscript"/>
        <sz val="10"/>
        <rFont val="Calibri"/>
        <family val="2"/>
      </rPr>
      <t>OW</t>
    </r>
    <r>
      <rPr>
        <sz val="10"/>
        <rFont val="Calibri"/>
        <family val="2"/>
      </rPr>
      <t>+1.9)</t>
    </r>
    <r>
      <rPr>
        <vertAlign val="superscript"/>
        <sz val="10"/>
        <rFont val="Calibri"/>
        <family val="2"/>
      </rPr>
      <t>-1</t>
    </r>
    <r>
      <rPr>
        <sz val="10"/>
        <rFont val="Calibri"/>
        <family val="2"/>
      </rPr>
      <t xml:space="preserve"> (Lo et al. 2015)</t>
    </r>
  </si>
  <si>
    <r>
      <t>E</t>
    </r>
    <r>
      <rPr>
        <vertAlign val="subscript"/>
        <sz val="10"/>
        <rFont val="Calibri"/>
        <family val="2"/>
      </rPr>
      <t>D</t>
    </r>
    <r>
      <rPr>
        <sz val="10"/>
        <rFont val="Calibri"/>
        <family val="2"/>
      </rPr>
      <t xml:space="preserve"> = -e</t>
    </r>
    <r>
      <rPr>
        <vertAlign val="superscript"/>
        <sz val="10"/>
        <rFont val="Calibri"/>
        <family val="2"/>
      </rPr>
      <t>b0</t>
    </r>
    <r>
      <rPr>
        <sz val="10"/>
        <rFont val="Calibri"/>
        <family val="2"/>
      </rPr>
      <t>·b</t>
    </r>
    <r>
      <rPr>
        <vertAlign val="subscript"/>
        <sz val="10"/>
        <rFont val="Calibri"/>
        <family val="2"/>
      </rPr>
      <t>1</t>
    </r>
    <r>
      <rPr>
        <sz val="10"/>
        <rFont val="Calibri"/>
        <family val="2"/>
      </rPr>
      <t>/[C</t>
    </r>
    <r>
      <rPr>
        <vertAlign val="subscript"/>
        <sz val="10"/>
        <rFont val="Calibri"/>
        <family val="2"/>
      </rPr>
      <t>D</t>
    </r>
    <r>
      <rPr>
        <sz val="10"/>
        <rFont val="Calibri"/>
        <family val="2"/>
      </rPr>
      <t>·F</t>
    </r>
    <r>
      <rPr>
        <vertAlign val="subscript"/>
        <sz val="10"/>
        <rFont val="Calibri"/>
        <family val="2"/>
      </rPr>
      <t>D</t>
    </r>
    <r>
      <rPr>
        <sz val="10"/>
        <rFont val="Calibri"/>
        <family val="2"/>
      </rPr>
      <t>·(1-e</t>
    </r>
    <r>
      <rPr>
        <vertAlign val="superscript"/>
        <sz val="10"/>
        <rFont val="Calibri"/>
        <family val="2"/>
      </rPr>
      <t>b1·tu</t>
    </r>
    <r>
      <rPr>
        <sz val="10"/>
        <rFont val="Calibri"/>
        <family val="2"/>
      </rPr>
      <t>)]</t>
    </r>
  </si>
  <si>
    <r>
      <t>k</t>
    </r>
    <r>
      <rPr>
        <vertAlign val="subscript"/>
        <sz val="10"/>
        <rFont val="Calibri"/>
        <family val="2"/>
      </rPr>
      <t xml:space="preserve">GB </t>
    </r>
    <r>
      <rPr>
        <sz val="10"/>
        <rFont val="Calibri"/>
        <family val="2"/>
      </rPr>
      <t>= [E</t>
    </r>
    <r>
      <rPr>
        <vertAlign val="subscript"/>
        <sz val="10"/>
        <rFont val="Calibri"/>
        <family val="2"/>
      </rPr>
      <t>D,R</t>
    </r>
    <r>
      <rPr>
        <sz val="10"/>
        <rFont val="Calibri"/>
        <family val="2"/>
      </rPr>
      <t>/(1-E</t>
    </r>
    <r>
      <rPr>
        <vertAlign val="subscript"/>
        <sz val="10"/>
        <rFont val="Calibri"/>
        <family val="2"/>
      </rPr>
      <t>D,R</t>
    </r>
    <r>
      <rPr>
        <sz val="10"/>
        <rFont val="Calibri"/>
        <family val="2"/>
      </rPr>
      <t>)]·[G</t>
    </r>
    <r>
      <rPr>
        <vertAlign val="subscript"/>
        <sz val="10"/>
        <rFont val="Calibri"/>
        <family val="2"/>
      </rPr>
      <t>GE</t>
    </r>
    <r>
      <rPr>
        <sz val="10"/>
        <rFont val="Calibri"/>
        <family val="2"/>
      </rPr>
      <t>/W</t>
    </r>
    <r>
      <rPr>
        <vertAlign val="subscript"/>
        <sz val="10"/>
        <rFont val="Calibri"/>
        <family val="2"/>
      </rPr>
      <t>G</t>
    </r>
    <r>
      <rPr>
        <sz val="10"/>
        <rFont val="Calibri"/>
        <family val="2"/>
      </rPr>
      <t>]</t>
    </r>
  </si>
  <si>
    <r>
      <t>k</t>
    </r>
    <r>
      <rPr>
        <vertAlign val="subscript"/>
        <sz val="10"/>
        <rFont val="Calibri"/>
        <family val="2"/>
      </rPr>
      <t xml:space="preserve">GM </t>
    </r>
    <r>
      <rPr>
        <sz val="10"/>
        <rFont val="Calibri"/>
        <family val="2"/>
      </rPr>
      <t>= (1/E</t>
    </r>
    <r>
      <rPr>
        <vertAlign val="subscript"/>
        <sz val="10"/>
        <rFont val="Calibri"/>
        <family val="2"/>
      </rPr>
      <t>D</t>
    </r>
    <r>
      <rPr>
        <sz val="10"/>
        <rFont val="Calibri"/>
        <family val="2"/>
      </rPr>
      <t>-1/E</t>
    </r>
    <r>
      <rPr>
        <vertAlign val="subscript"/>
        <sz val="10"/>
        <rFont val="Calibri"/>
        <family val="2"/>
      </rPr>
      <t>D,R</t>
    </r>
    <r>
      <rPr>
        <sz val="10"/>
        <rFont val="Calibri"/>
        <family val="2"/>
      </rPr>
      <t>)·k</t>
    </r>
    <r>
      <rPr>
        <vertAlign val="subscript"/>
        <sz val="10"/>
        <rFont val="Calibri"/>
        <family val="2"/>
      </rPr>
      <t>GB</t>
    </r>
  </si>
  <si>
    <r>
      <t>BMF</t>
    </r>
    <r>
      <rPr>
        <vertAlign val="subscript"/>
        <sz val="10"/>
        <rFont val="Calibri"/>
        <family val="2"/>
      </rPr>
      <t xml:space="preserve"> </t>
    </r>
    <r>
      <rPr>
        <sz val="10"/>
        <rFont val="Calibri"/>
        <family val="2"/>
      </rPr>
      <t>= F</t>
    </r>
    <r>
      <rPr>
        <vertAlign val="subscript"/>
        <sz val="10"/>
        <rFont val="Calibri"/>
        <family val="2"/>
      </rPr>
      <t>D</t>
    </r>
    <r>
      <rPr>
        <sz val="10"/>
        <rFont val="Calibri"/>
        <family val="2"/>
      </rPr>
      <t>·E</t>
    </r>
    <r>
      <rPr>
        <vertAlign val="subscript"/>
        <sz val="10"/>
        <rFont val="Calibri"/>
        <family val="2"/>
      </rPr>
      <t>D</t>
    </r>
    <r>
      <rPr>
        <sz val="10"/>
        <rFont val="Calibri"/>
        <family val="2"/>
      </rPr>
      <t>/k</t>
    </r>
    <r>
      <rPr>
        <vertAlign val="subscript"/>
        <sz val="10"/>
        <rFont val="Calibri"/>
        <family val="2"/>
      </rPr>
      <t>BT</t>
    </r>
  </si>
  <si>
    <r>
      <t>E</t>
    </r>
    <r>
      <rPr>
        <b/>
        <vertAlign val="subscript"/>
        <sz val="10"/>
        <rFont val="Calibri"/>
        <family val="2"/>
      </rPr>
      <t>D,R</t>
    </r>
    <r>
      <rPr>
        <b/>
        <sz val="10"/>
        <rFont val="Calibri"/>
        <family val="2"/>
      </rPr>
      <t xml:space="preserve"> = (m·K</t>
    </r>
    <r>
      <rPr>
        <b/>
        <vertAlign val="subscript"/>
        <sz val="10"/>
        <rFont val="Calibri"/>
        <family val="2"/>
      </rPr>
      <t>OW</t>
    </r>
    <r>
      <rPr>
        <b/>
        <sz val="10"/>
        <rFont val="Calibri"/>
        <family val="2"/>
      </rPr>
      <t>+n)</t>
    </r>
    <r>
      <rPr>
        <b/>
        <vertAlign val="superscript"/>
        <sz val="10"/>
        <rFont val="Calibri"/>
        <family val="2"/>
      </rPr>
      <t>-1</t>
    </r>
  </si>
  <si>
    <r>
      <t>Partial derivative of k</t>
    </r>
    <r>
      <rPr>
        <vertAlign val="subscript"/>
        <sz val="10"/>
        <rFont val="Calibri"/>
        <family val="2"/>
      </rPr>
      <t>GB</t>
    </r>
    <r>
      <rPr>
        <sz val="10"/>
        <rFont val="Calibri"/>
        <family val="2"/>
      </rPr>
      <t xml:space="preserve"> with respect to E</t>
    </r>
    <r>
      <rPr>
        <vertAlign val="subscript"/>
        <sz val="10"/>
        <rFont val="Calibri"/>
        <family val="2"/>
      </rPr>
      <t>D,R</t>
    </r>
  </si>
  <si>
    <r>
      <t>Partial derivative of k</t>
    </r>
    <r>
      <rPr>
        <vertAlign val="subscript"/>
        <sz val="10"/>
        <rFont val="Calibri"/>
        <family val="2"/>
      </rPr>
      <t>BG</t>
    </r>
    <r>
      <rPr>
        <sz val="10"/>
        <rFont val="Calibri"/>
        <family val="2"/>
      </rPr>
      <t xml:space="preserve"> with respect to E</t>
    </r>
    <r>
      <rPr>
        <vertAlign val="subscript"/>
        <sz val="10"/>
        <rFont val="Calibri"/>
        <family val="2"/>
      </rPr>
      <t>D,R</t>
    </r>
  </si>
  <si>
    <r>
      <t>Partial derivative of k</t>
    </r>
    <r>
      <rPr>
        <vertAlign val="subscript"/>
        <sz val="10"/>
        <rFont val="Calibri"/>
        <family val="2"/>
      </rPr>
      <t>BE</t>
    </r>
    <r>
      <rPr>
        <sz val="10"/>
        <rFont val="Calibri"/>
        <family val="2"/>
      </rPr>
      <t xml:space="preserve"> with respect to E</t>
    </r>
    <r>
      <rPr>
        <vertAlign val="subscript"/>
        <sz val="10"/>
        <rFont val="Calibri"/>
        <family val="2"/>
      </rPr>
      <t>D,R</t>
    </r>
  </si>
  <si>
    <r>
      <t>Partial derivative of k</t>
    </r>
    <r>
      <rPr>
        <vertAlign val="subscript"/>
        <sz val="10"/>
        <rFont val="Calibri"/>
        <family val="2"/>
      </rPr>
      <t>GM</t>
    </r>
    <r>
      <rPr>
        <sz val="10"/>
        <rFont val="Calibri"/>
        <family val="2"/>
      </rPr>
      <t xml:space="preserve"> with respect to E</t>
    </r>
    <r>
      <rPr>
        <vertAlign val="subscript"/>
        <sz val="10"/>
        <rFont val="Calibri"/>
        <family val="2"/>
      </rPr>
      <t>D</t>
    </r>
  </si>
  <si>
    <r>
      <t>Partial derivative of k</t>
    </r>
    <r>
      <rPr>
        <vertAlign val="subscript"/>
        <sz val="10"/>
        <rFont val="Calibri"/>
        <family val="2"/>
      </rPr>
      <t>GM</t>
    </r>
    <r>
      <rPr>
        <sz val="10"/>
        <rFont val="Calibri"/>
        <family val="2"/>
      </rPr>
      <t xml:space="preserve"> with respect to E</t>
    </r>
    <r>
      <rPr>
        <vertAlign val="subscript"/>
        <sz val="10"/>
        <rFont val="Calibri"/>
        <family val="2"/>
      </rPr>
      <t>D,R</t>
    </r>
  </si>
  <si>
    <r>
      <t>Partial derivative of k</t>
    </r>
    <r>
      <rPr>
        <vertAlign val="subscript"/>
        <sz val="10"/>
        <rFont val="Calibri"/>
        <family val="2"/>
      </rPr>
      <t>BT,R</t>
    </r>
    <r>
      <rPr>
        <sz val="10"/>
        <rFont val="Calibri"/>
        <family val="2"/>
      </rPr>
      <t xml:space="preserve"> with respect to E</t>
    </r>
    <r>
      <rPr>
        <vertAlign val="subscript"/>
        <sz val="10"/>
        <rFont val="Calibri"/>
        <family val="2"/>
      </rPr>
      <t>D,R</t>
    </r>
  </si>
  <si>
    <r>
      <t>Partial derivative of k</t>
    </r>
    <r>
      <rPr>
        <vertAlign val="subscript"/>
        <sz val="10"/>
        <rFont val="Calibri"/>
        <family val="2"/>
      </rPr>
      <t>BM</t>
    </r>
    <r>
      <rPr>
        <sz val="10"/>
        <rFont val="Calibri"/>
        <family val="2"/>
      </rPr>
      <t xml:space="preserve"> with respect to E</t>
    </r>
    <r>
      <rPr>
        <vertAlign val="subscript"/>
        <sz val="10"/>
        <rFont val="Calibri"/>
        <family val="2"/>
      </rPr>
      <t>D,R</t>
    </r>
  </si>
  <si>
    <r>
      <t>Partial derivative of E</t>
    </r>
    <r>
      <rPr>
        <vertAlign val="subscript"/>
        <sz val="10"/>
        <rFont val="Calibri"/>
        <family val="2"/>
      </rPr>
      <t>D</t>
    </r>
    <r>
      <rPr>
        <sz val="10"/>
        <rFont val="Calibri"/>
        <family val="2"/>
      </rPr>
      <t xml:space="preserve"> with respect to C</t>
    </r>
    <r>
      <rPr>
        <vertAlign val="subscript"/>
        <sz val="10"/>
        <rFont val="Calibri"/>
        <family val="2"/>
      </rPr>
      <t>D</t>
    </r>
  </si>
  <si>
    <r>
      <t>Partial derivative of E</t>
    </r>
    <r>
      <rPr>
        <vertAlign val="subscript"/>
        <sz val="10"/>
        <rFont val="Calibri"/>
        <family val="2"/>
      </rPr>
      <t>D</t>
    </r>
    <r>
      <rPr>
        <sz val="10"/>
        <rFont val="Calibri"/>
        <family val="2"/>
      </rPr>
      <t xml:space="preserve"> with respect to F</t>
    </r>
    <r>
      <rPr>
        <vertAlign val="subscript"/>
        <sz val="10"/>
        <rFont val="Calibri"/>
        <family val="2"/>
      </rPr>
      <t>D</t>
    </r>
  </si>
  <si>
    <r>
      <t>Partial derivative of E</t>
    </r>
    <r>
      <rPr>
        <vertAlign val="subscript"/>
        <sz val="10"/>
        <rFont val="Calibri"/>
        <family val="2"/>
      </rPr>
      <t>D</t>
    </r>
    <r>
      <rPr>
        <sz val="10"/>
        <rFont val="Calibri"/>
        <family val="2"/>
      </rPr>
      <t xml:space="preserve"> with respect to b</t>
    </r>
    <r>
      <rPr>
        <vertAlign val="subscript"/>
        <sz val="10"/>
        <rFont val="Calibri"/>
        <family val="2"/>
      </rPr>
      <t>0</t>
    </r>
  </si>
  <si>
    <r>
      <t>Partial derivative of E</t>
    </r>
    <r>
      <rPr>
        <vertAlign val="subscript"/>
        <sz val="10"/>
        <rFont val="Calibri"/>
        <family val="2"/>
      </rPr>
      <t>D</t>
    </r>
    <r>
      <rPr>
        <sz val="10"/>
        <rFont val="Calibri"/>
        <family val="2"/>
      </rPr>
      <t xml:space="preserve"> with respect to b</t>
    </r>
    <r>
      <rPr>
        <vertAlign val="subscript"/>
        <sz val="10"/>
        <rFont val="Calibri"/>
        <family val="2"/>
      </rPr>
      <t>1</t>
    </r>
  </si>
  <si>
    <r>
      <t>Partial derivative of E</t>
    </r>
    <r>
      <rPr>
        <vertAlign val="subscript"/>
        <sz val="10"/>
        <rFont val="Calibri"/>
        <family val="2"/>
      </rPr>
      <t>D,R</t>
    </r>
    <r>
      <rPr>
        <sz val="10"/>
        <rFont val="Calibri"/>
        <family val="2"/>
      </rPr>
      <t xml:space="preserve"> with respect to m</t>
    </r>
  </si>
  <si>
    <r>
      <t>Partial derivative of E</t>
    </r>
    <r>
      <rPr>
        <vertAlign val="subscript"/>
        <sz val="10"/>
        <rFont val="Calibri"/>
        <family val="2"/>
      </rPr>
      <t>D,R</t>
    </r>
    <r>
      <rPr>
        <sz val="10"/>
        <rFont val="Calibri"/>
        <family val="2"/>
      </rPr>
      <t xml:space="preserve"> with respect to n</t>
    </r>
  </si>
  <si>
    <r>
      <t>əE</t>
    </r>
    <r>
      <rPr>
        <vertAlign val="subscript"/>
        <sz val="10"/>
        <rFont val="Calibri"/>
        <family val="2"/>
      </rPr>
      <t>D</t>
    </r>
    <r>
      <rPr>
        <sz val="10"/>
        <rFont val="Calibri"/>
        <family val="2"/>
      </rPr>
      <t>/əC</t>
    </r>
    <r>
      <rPr>
        <vertAlign val="subscript"/>
        <sz val="10"/>
        <rFont val="Calibri"/>
        <family val="2"/>
      </rPr>
      <t>D</t>
    </r>
  </si>
  <si>
    <r>
      <t>əE</t>
    </r>
    <r>
      <rPr>
        <vertAlign val="subscript"/>
        <sz val="10"/>
        <rFont val="Calibri"/>
        <family val="2"/>
      </rPr>
      <t>D</t>
    </r>
    <r>
      <rPr>
        <sz val="10"/>
        <rFont val="Calibri"/>
        <family val="2"/>
      </rPr>
      <t>/əF</t>
    </r>
    <r>
      <rPr>
        <vertAlign val="subscript"/>
        <sz val="10"/>
        <rFont val="Calibri"/>
        <family val="2"/>
      </rPr>
      <t>D</t>
    </r>
  </si>
  <si>
    <r>
      <t>əE</t>
    </r>
    <r>
      <rPr>
        <vertAlign val="subscript"/>
        <sz val="10"/>
        <rFont val="Calibri"/>
        <family val="2"/>
      </rPr>
      <t>D</t>
    </r>
    <r>
      <rPr>
        <sz val="10"/>
        <rFont val="Calibri"/>
        <family val="2"/>
      </rPr>
      <t>/əb</t>
    </r>
    <r>
      <rPr>
        <vertAlign val="subscript"/>
        <sz val="10"/>
        <rFont val="Calibri"/>
        <family val="2"/>
      </rPr>
      <t>0</t>
    </r>
  </si>
  <si>
    <r>
      <t>əE</t>
    </r>
    <r>
      <rPr>
        <vertAlign val="subscript"/>
        <sz val="10"/>
        <rFont val="Calibri"/>
        <family val="2"/>
      </rPr>
      <t>D</t>
    </r>
    <r>
      <rPr>
        <sz val="10"/>
        <rFont val="Calibri"/>
        <family val="2"/>
      </rPr>
      <t>/əb</t>
    </r>
    <r>
      <rPr>
        <vertAlign val="subscript"/>
        <sz val="10"/>
        <rFont val="Calibri"/>
        <family val="2"/>
      </rPr>
      <t>1</t>
    </r>
    <r>
      <rPr>
        <sz val="11"/>
        <color theme="1"/>
        <rFont val="Calibri"/>
        <family val="2"/>
        <scheme val="minor"/>
      </rPr>
      <t/>
    </r>
  </si>
  <si>
    <r>
      <t>əE</t>
    </r>
    <r>
      <rPr>
        <vertAlign val="subscript"/>
        <sz val="10"/>
        <rFont val="Calibri"/>
        <family val="2"/>
      </rPr>
      <t>D,R</t>
    </r>
    <r>
      <rPr>
        <sz val="10"/>
        <rFont val="Calibri"/>
        <family val="2"/>
      </rPr>
      <t>/əm</t>
    </r>
  </si>
  <si>
    <r>
      <t>əE</t>
    </r>
    <r>
      <rPr>
        <vertAlign val="subscript"/>
        <sz val="10"/>
        <rFont val="Calibri"/>
        <family val="2"/>
      </rPr>
      <t>D,R</t>
    </r>
    <r>
      <rPr>
        <sz val="10"/>
        <rFont val="Calibri"/>
        <family val="2"/>
      </rPr>
      <t>/ən</t>
    </r>
  </si>
  <si>
    <r>
      <t>ək</t>
    </r>
    <r>
      <rPr>
        <vertAlign val="subscript"/>
        <sz val="10"/>
        <rFont val="Calibri"/>
        <family val="2"/>
      </rPr>
      <t>GB</t>
    </r>
    <r>
      <rPr>
        <sz val="10"/>
        <rFont val="Calibri"/>
        <family val="2"/>
      </rPr>
      <t>/əE</t>
    </r>
    <r>
      <rPr>
        <vertAlign val="subscript"/>
        <sz val="10"/>
        <rFont val="Calibri"/>
        <family val="2"/>
      </rPr>
      <t>D,R</t>
    </r>
  </si>
  <si>
    <r>
      <t>ək</t>
    </r>
    <r>
      <rPr>
        <vertAlign val="subscript"/>
        <sz val="10"/>
        <rFont val="Calibri"/>
        <family val="2"/>
      </rPr>
      <t>BG</t>
    </r>
    <r>
      <rPr>
        <sz val="10"/>
        <rFont val="Calibri"/>
        <family val="2"/>
      </rPr>
      <t>/əE</t>
    </r>
    <r>
      <rPr>
        <vertAlign val="subscript"/>
        <sz val="10"/>
        <rFont val="Calibri"/>
        <family val="2"/>
      </rPr>
      <t>D,R</t>
    </r>
  </si>
  <si>
    <r>
      <t>ək</t>
    </r>
    <r>
      <rPr>
        <vertAlign val="subscript"/>
        <sz val="10"/>
        <rFont val="Calibri"/>
        <family val="2"/>
      </rPr>
      <t>BE</t>
    </r>
    <r>
      <rPr>
        <sz val="10"/>
        <rFont val="Calibri"/>
        <family val="2"/>
      </rPr>
      <t>/əE</t>
    </r>
    <r>
      <rPr>
        <vertAlign val="subscript"/>
        <sz val="10"/>
        <rFont val="Calibri"/>
        <family val="2"/>
      </rPr>
      <t>D,R</t>
    </r>
  </si>
  <si>
    <r>
      <t>ək</t>
    </r>
    <r>
      <rPr>
        <vertAlign val="subscript"/>
        <sz val="10"/>
        <rFont val="Calibri"/>
        <family val="2"/>
      </rPr>
      <t>GM</t>
    </r>
    <r>
      <rPr>
        <sz val="10"/>
        <rFont val="Calibri"/>
        <family val="2"/>
      </rPr>
      <t>/əE</t>
    </r>
    <r>
      <rPr>
        <vertAlign val="subscript"/>
        <sz val="10"/>
        <rFont val="Calibri"/>
        <family val="2"/>
      </rPr>
      <t>D</t>
    </r>
  </si>
  <si>
    <r>
      <t>ək</t>
    </r>
    <r>
      <rPr>
        <vertAlign val="subscript"/>
        <sz val="10"/>
        <rFont val="Calibri"/>
        <family val="2"/>
      </rPr>
      <t>GM</t>
    </r>
    <r>
      <rPr>
        <sz val="10"/>
        <rFont val="Calibri"/>
        <family val="2"/>
      </rPr>
      <t>/əE</t>
    </r>
    <r>
      <rPr>
        <vertAlign val="subscript"/>
        <sz val="10"/>
        <rFont val="Calibri"/>
        <family val="2"/>
      </rPr>
      <t>D,R</t>
    </r>
  </si>
  <si>
    <r>
      <t>ək</t>
    </r>
    <r>
      <rPr>
        <vertAlign val="subscript"/>
        <sz val="10"/>
        <rFont val="Calibri"/>
        <family val="2"/>
      </rPr>
      <t>BT,R</t>
    </r>
    <r>
      <rPr>
        <sz val="10"/>
        <rFont val="Calibri"/>
        <family val="2"/>
      </rPr>
      <t>/əE</t>
    </r>
    <r>
      <rPr>
        <vertAlign val="subscript"/>
        <sz val="10"/>
        <rFont val="Calibri"/>
        <family val="2"/>
      </rPr>
      <t>D,R</t>
    </r>
  </si>
  <si>
    <r>
      <t>ək</t>
    </r>
    <r>
      <rPr>
        <vertAlign val="subscript"/>
        <sz val="10"/>
        <rFont val="Calibri"/>
        <family val="2"/>
      </rPr>
      <t>BM</t>
    </r>
    <r>
      <rPr>
        <sz val="10"/>
        <rFont val="Calibri"/>
        <family val="2"/>
      </rPr>
      <t>/əE</t>
    </r>
    <r>
      <rPr>
        <vertAlign val="subscript"/>
        <sz val="10"/>
        <rFont val="Calibri"/>
        <family val="2"/>
      </rPr>
      <t>D,R</t>
    </r>
  </si>
  <si>
    <r>
      <t>Standard error of E</t>
    </r>
    <r>
      <rPr>
        <vertAlign val="subscript"/>
        <sz val="10"/>
        <rFont val="Calibri"/>
        <family val="2"/>
      </rPr>
      <t>D</t>
    </r>
  </si>
  <si>
    <r>
      <t>SE(E</t>
    </r>
    <r>
      <rPr>
        <vertAlign val="subscript"/>
        <sz val="10"/>
        <rFont val="Calibri"/>
        <family val="2"/>
      </rPr>
      <t>D</t>
    </r>
    <r>
      <rPr>
        <sz val="10"/>
        <rFont val="Calibri"/>
        <family val="2"/>
      </rPr>
      <t>)</t>
    </r>
  </si>
  <si>
    <r>
      <t>Standard error of E</t>
    </r>
    <r>
      <rPr>
        <vertAlign val="subscript"/>
        <sz val="10"/>
        <rFont val="Calibri"/>
        <family val="2"/>
      </rPr>
      <t>D,R</t>
    </r>
  </si>
  <si>
    <r>
      <t>SE(E</t>
    </r>
    <r>
      <rPr>
        <vertAlign val="subscript"/>
        <sz val="10"/>
        <rFont val="Calibri"/>
        <family val="2"/>
      </rPr>
      <t>D,R</t>
    </r>
    <r>
      <rPr>
        <sz val="10"/>
        <rFont val="Calibri"/>
        <family val="2"/>
      </rPr>
      <t>)</t>
    </r>
  </si>
  <si>
    <r>
      <t>E</t>
    </r>
    <r>
      <rPr>
        <vertAlign val="subscript"/>
        <sz val="10"/>
        <rFont val="Calibri"/>
        <family val="2"/>
      </rPr>
      <t>D,R</t>
    </r>
    <phoneticPr fontId="23" type="noConversion"/>
  </si>
  <si>
    <r>
      <t>əE</t>
    </r>
    <r>
      <rPr>
        <vertAlign val="subscript"/>
        <sz val="10"/>
        <rFont val="Calibri"/>
        <family val="2"/>
      </rPr>
      <t>D</t>
    </r>
    <r>
      <rPr>
        <sz val="10"/>
        <rFont val="Calibri"/>
        <family val="2"/>
      </rPr>
      <t>/əC</t>
    </r>
    <r>
      <rPr>
        <vertAlign val="subscript"/>
        <sz val="10"/>
        <rFont val="Calibri"/>
        <family val="2"/>
      </rPr>
      <t>D</t>
    </r>
    <r>
      <rPr>
        <sz val="10"/>
        <rFont val="Calibri"/>
        <family val="2"/>
      </rPr>
      <t xml:space="preserve"> = e</t>
    </r>
    <r>
      <rPr>
        <vertAlign val="superscript"/>
        <sz val="10"/>
        <rFont val="Calibri"/>
        <family val="2"/>
      </rPr>
      <t>b0</t>
    </r>
    <r>
      <rPr>
        <sz val="10"/>
        <rFont val="Calibri"/>
        <family val="2"/>
      </rPr>
      <t>·b</t>
    </r>
    <r>
      <rPr>
        <vertAlign val="subscript"/>
        <sz val="10"/>
        <rFont val="Calibri"/>
        <family val="2"/>
      </rPr>
      <t>1</t>
    </r>
    <r>
      <rPr>
        <sz val="10"/>
        <rFont val="Calibri"/>
        <family val="2"/>
      </rPr>
      <t>/[C</t>
    </r>
    <r>
      <rPr>
        <vertAlign val="subscript"/>
        <sz val="10"/>
        <rFont val="Calibri"/>
        <family val="2"/>
      </rPr>
      <t>D</t>
    </r>
    <r>
      <rPr>
        <vertAlign val="superscript"/>
        <sz val="10"/>
        <rFont val="Calibri"/>
        <family val="2"/>
      </rPr>
      <t>2</t>
    </r>
    <r>
      <rPr>
        <sz val="10"/>
        <rFont val="Calibri"/>
        <family val="2"/>
      </rPr>
      <t>·F</t>
    </r>
    <r>
      <rPr>
        <vertAlign val="subscript"/>
        <sz val="10"/>
        <rFont val="Calibri"/>
        <family val="2"/>
      </rPr>
      <t>D</t>
    </r>
    <r>
      <rPr>
        <sz val="10"/>
        <rFont val="Calibri"/>
        <family val="2"/>
      </rPr>
      <t>·(1-e</t>
    </r>
    <r>
      <rPr>
        <vertAlign val="superscript"/>
        <sz val="10"/>
        <rFont val="Calibri"/>
        <family val="2"/>
      </rPr>
      <t>b1·tu</t>
    </r>
    <r>
      <rPr>
        <sz val="10"/>
        <rFont val="Calibri"/>
        <family val="2"/>
      </rPr>
      <t>)]</t>
    </r>
    <phoneticPr fontId="23" type="noConversion"/>
  </si>
  <si>
    <r>
      <t>əE</t>
    </r>
    <r>
      <rPr>
        <vertAlign val="subscript"/>
        <sz val="10"/>
        <rFont val="Calibri"/>
        <family val="2"/>
      </rPr>
      <t>D</t>
    </r>
    <r>
      <rPr>
        <sz val="10"/>
        <rFont val="Calibri"/>
        <family val="2"/>
      </rPr>
      <t>/əF</t>
    </r>
    <r>
      <rPr>
        <vertAlign val="subscript"/>
        <sz val="10"/>
        <rFont val="Calibri"/>
        <family val="2"/>
      </rPr>
      <t>D</t>
    </r>
    <r>
      <rPr>
        <sz val="10"/>
        <rFont val="Calibri"/>
        <family val="2"/>
      </rPr>
      <t xml:space="preserve"> = e</t>
    </r>
    <r>
      <rPr>
        <vertAlign val="superscript"/>
        <sz val="10"/>
        <rFont val="Calibri"/>
        <family val="2"/>
      </rPr>
      <t>b0</t>
    </r>
    <r>
      <rPr>
        <sz val="10"/>
        <rFont val="Calibri"/>
        <family val="2"/>
      </rPr>
      <t>·b</t>
    </r>
    <r>
      <rPr>
        <vertAlign val="subscript"/>
        <sz val="10"/>
        <rFont val="Calibri"/>
        <family val="2"/>
      </rPr>
      <t>1</t>
    </r>
    <r>
      <rPr>
        <sz val="10"/>
        <rFont val="Calibri"/>
        <family val="2"/>
      </rPr>
      <t>/[C</t>
    </r>
    <r>
      <rPr>
        <vertAlign val="subscript"/>
        <sz val="10"/>
        <rFont val="Calibri"/>
        <family val="2"/>
      </rPr>
      <t>D</t>
    </r>
    <r>
      <rPr>
        <sz val="10"/>
        <rFont val="Calibri"/>
        <family val="2"/>
      </rPr>
      <t>·F</t>
    </r>
    <r>
      <rPr>
        <vertAlign val="subscript"/>
        <sz val="10"/>
        <rFont val="Calibri"/>
        <family val="2"/>
      </rPr>
      <t>D</t>
    </r>
    <r>
      <rPr>
        <vertAlign val="superscript"/>
        <sz val="10"/>
        <rFont val="Calibri"/>
        <family val="2"/>
      </rPr>
      <t>2</t>
    </r>
    <r>
      <rPr>
        <sz val="10"/>
        <rFont val="Calibri"/>
        <family val="2"/>
      </rPr>
      <t>·(1-e</t>
    </r>
    <r>
      <rPr>
        <vertAlign val="superscript"/>
        <sz val="10"/>
        <rFont val="Calibri"/>
        <family val="2"/>
      </rPr>
      <t>b1·tu</t>
    </r>
    <r>
      <rPr>
        <sz val="10"/>
        <rFont val="Calibri"/>
        <family val="2"/>
      </rPr>
      <t>)]</t>
    </r>
    <phoneticPr fontId="23" type="noConversion"/>
  </si>
  <si>
    <r>
      <t>əE</t>
    </r>
    <r>
      <rPr>
        <vertAlign val="subscript"/>
        <sz val="10"/>
        <rFont val="Calibri"/>
        <family val="2"/>
      </rPr>
      <t>D</t>
    </r>
    <r>
      <rPr>
        <sz val="10"/>
        <rFont val="Calibri"/>
        <family val="2"/>
      </rPr>
      <t>/əb</t>
    </r>
    <r>
      <rPr>
        <vertAlign val="subscript"/>
        <sz val="10"/>
        <rFont val="Calibri"/>
        <family val="2"/>
      </rPr>
      <t>0</t>
    </r>
    <r>
      <rPr>
        <sz val="10"/>
        <rFont val="Calibri"/>
        <family val="2"/>
      </rPr>
      <t xml:space="preserve"> = -e</t>
    </r>
    <r>
      <rPr>
        <vertAlign val="superscript"/>
        <sz val="10"/>
        <rFont val="Calibri"/>
        <family val="2"/>
      </rPr>
      <t>b0</t>
    </r>
    <r>
      <rPr>
        <sz val="10"/>
        <rFont val="Calibri"/>
        <family val="2"/>
      </rPr>
      <t>·b</t>
    </r>
    <r>
      <rPr>
        <vertAlign val="subscript"/>
        <sz val="10"/>
        <rFont val="Calibri"/>
        <family val="2"/>
      </rPr>
      <t>1</t>
    </r>
    <r>
      <rPr>
        <sz val="10"/>
        <rFont val="Calibri"/>
        <family val="2"/>
      </rPr>
      <t>/[C</t>
    </r>
    <r>
      <rPr>
        <vertAlign val="subscript"/>
        <sz val="10"/>
        <rFont val="Calibri"/>
        <family val="2"/>
      </rPr>
      <t>D</t>
    </r>
    <r>
      <rPr>
        <sz val="10"/>
        <rFont val="Calibri"/>
        <family val="2"/>
      </rPr>
      <t>·F</t>
    </r>
    <r>
      <rPr>
        <vertAlign val="subscript"/>
        <sz val="10"/>
        <rFont val="Calibri"/>
        <family val="2"/>
      </rPr>
      <t>D</t>
    </r>
    <r>
      <rPr>
        <sz val="10"/>
        <rFont val="Calibri"/>
        <family val="2"/>
      </rPr>
      <t>·(1-e</t>
    </r>
    <r>
      <rPr>
        <vertAlign val="superscript"/>
        <sz val="10"/>
        <rFont val="Calibri"/>
        <family val="2"/>
      </rPr>
      <t>b1·tu</t>
    </r>
    <r>
      <rPr>
        <sz val="10"/>
        <rFont val="Calibri"/>
        <family val="2"/>
      </rPr>
      <t>)]</t>
    </r>
    <phoneticPr fontId="23" type="noConversion"/>
  </si>
  <si>
    <r>
      <t>əE</t>
    </r>
    <r>
      <rPr>
        <vertAlign val="subscript"/>
        <sz val="10"/>
        <rFont val="Calibri"/>
        <family val="2"/>
      </rPr>
      <t>D</t>
    </r>
    <r>
      <rPr>
        <sz val="10"/>
        <rFont val="Calibri"/>
        <family val="2"/>
      </rPr>
      <t>/əb</t>
    </r>
    <r>
      <rPr>
        <vertAlign val="subscript"/>
        <sz val="10"/>
        <rFont val="Calibri"/>
        <family val="2"/>
      </rPr>
      <t>1</t>
    </r>
    <r>
      <rPr>
        <sz val="10"/>
        <rFont val="Calibri"/>
        <family val="2"/>
      </rPr>
      <t xml:space="preserve"> = -e</t>
    </r>
    <r>
      <rPr>
        <vertAlign val="superscript"/>
        <sz val="10"/>
        <rFont val="Calibri"/>
        <family val="2"/>
      </rPr>
      <t>b0</t>
    </r>
    <r>
      <rPr>
        <sz val="10"/>
        <rFont val="Calibri"/>
        <family val="2"/>
      </rPr>
      <t>·(1-e</t>
    </r>
    <r>
      <rPr>
        <vertAlign val="superscript"/>
        <sz val="10"/>
        <rFont val="Calibri"/>
        <family val="2"/>
      </rPr>
      <t>b1·tu</t>
    </r>
    <r>
      <rPr>
        <sz val="10"/>
        <rFont val="Calibri"/>
        <family val="2"/>
      </rPr>
      <t>+e</t>
    </r>
    <r>
      <rPr>
        <vertAlign val="superscript"/>
        <sz val="10"/>
        <rFont val="Calibri"/>
        <family val="2"/>
      </rPr>
      <t>b1·tu</t>
    </r>
    <r>
      <rPr>
        <sz val="10"/>
        <rFont val="Calibri"/>
        <family val="2"/>
      </rPr>
      <t>·b</t>
    </r>
    <r>
      <rPr>
        <vertAlign val="subscript"/>
        <sz val="10"/>
        <rFont val="Calibri"/>
        <family val="2"/>
      </rPr>
      <t>1</t>
    </r>
    <r>
      <rPr>
        <sz val="10"/>
        <rFont val="Calibri"/>
        <family val="2"/>
      </rPr>
      <t>·t</t>
    </r>
    <r>
      <rPr>
        <vertAlign val="subscript"/>
        <sz val="10"/>
        <rFont val="Calibri"/>
        <family val="2"/>
      </rPr>
      <t>u</t>
    </r>
    <r>
      <rPr>
        <sz val="10"/>
        <rFont val="Calibri"/>
        <family val="2"/>
      </rPr>
      <t>)/[C</t>
    </r>
    <r>
      <rPr>
        <vertAlign val="subscript"/>
        <sz val="10"/>
        <rFont val="Calibri"/>
        <family val="2"/>
      </rPr>
      <t>D</t>
    </r>
    <r>
      <rPr>
        <sz val="10"/>
        <rFont val="Calibri"/>
        <family val="2"/>
      </rPr>
      <t>·F</t>
    </r>
    <r>
      <rPr>
        <vertAlign val="subscript"/>
        <sz val="10"/>
        <rFont val="Calibri"/>
        <family val="2"/>
      </rPr>
      <t>D</t>
    </r>
    <r>
      <rPr>
        <sz val="10"/>
        <rFont val="Calibri"/>
        <family val="2"/>
      </rPr>
      <t>·(1-e</t>
    </r>
    <r>
      <rPr>
        <vertAlign val="superscript"/>
        <sz val="10"/>
        <rFont val="Calibri"/>
        <family val="2"/>
      </rPr>
      <t>b1·tu</t>
    </r>
    <r>
      <rPr>
        <sz val="10"/>
        <rFont val="Calibri"/>
        <family val="2"/>
      </rPr>
      <t>)</t>
    </r>
    <r>
      <rPr>
        <vertAlign val="superscript"/>
        <sz val="10"/>
        <rFont val="Calibri"/>
        <family val="2"/>
      </rPr>
      <t>2</t>
    </r>
    <r>
      <rPr>
        <sz val="10"/>
        <rFont val="Calibri"/>
        <family val="2"/>
      </rPr>
      <t>]</t>
    </r>
    <phoneticPr fontId="23" type="noConversion"/>
  </si>
  <si>
    <r>
      <t>əE</t>
    </r>
    <r>
      <rPr>
        <vertAlign val="subscript"/>
        <sz val="10"/>
        <rFont val="Calibri"/>
        <family val="2"/>
      </rPr>
      <t>D,R</t>
    </r>
    <r>
      <rPr>
        <sz val="10"/>
        <rFont val="Calibri"/>
        <family val="2"/>
      </rPr>
      <t>/əm = -K</t>
    </r>
    <r>
      <rPr>
        <vertAlign val="subscript"/>
        <sz val="10"/>
        <rFont val="Calibri"/>
        <family val="2"/>
      </rPr>
      <t>OW</t>
    </r>
    <r>
      <rPr>
        <sz val="10"/>
        <rFont val="Calibri"/>
        <family val="2"/>
      </rPr>
      <t>/(m·K</t>
    </r>
    <r>
      <rPr>
        <vertAlign val="subscript"/>
        <sz val="10"/>
        <rFont val="Calibri"/>
        <family val="2"/>
      </rPr>
      <t>OW</t>
    </r>
    <r>
      <rPr>
        <sz val="10"/>
        <rFont val="Calibri"/>
        <family val="2"/>
      </rPr>
      <t>+n)</t>
    </r>
    <r>
      <rPr>
        <vertAlign val="superscript"/>
        <sz val="10"/>
        <rFont val="Calibri"/>
        <family val="2"/>
      </rPr>
      <t>2</t>
    </r>
    <phoneticPr fontId="23" type="noConversion"/>
  </si>
  <si>
    <r>
      <t>əE</t>
    </r>
    <r>
      <rPr>
        <vertAlign val="subscript"/>
        <sz val="10"/>
        <rFont val="Calibri"/>
        <family val="2"/>
      </rPr>
      <t>D,R</t>
    </r>
    <r>
      <rPr>
        <sz val="10"/>
        <rFont val="Calibri"/>
        <family val="2"/>
      </rPr>
      <t>/ən = -1/(m·K</t>
    </r>
    <r>
      <rPr>
        <vertAlign val="subscript"/>
        <sz val="10"/>
        <rFont val="Calibri"/>
        <family val="2"/>
      </rPr>
      <t>OW</t>
    </r>
    <r>
      <rPr>
        <sz val="10"/>
        <rFont val="Calibri"/>
        <family val="2"/>
      </rPr>
      <t>+n)</t>
    </r>
    <r>
      <rPr>
        <vertAlign val="superscript"/>
        <sz val="10"/>
        <rFont val="Calibri"/>
        <family val="2"/>
      </rPr>
      <t>2</t>
    </r>
    <phoneticPr fontId="23" type="noConversion"/>
  </si>
  <si>
    <r>
      <t>ək</t>
    </r>
    <r>
      <rPr>
        <vertAlign val="subscript"/>
        <sz val="10"/>
        <rFont val="Calibri"/>
        <family val="2"/>
      </rPr>
      <t>GB</t>
    </r>
    <r>
      <rPr>
        <sz val="10"/>
        <rFont val="Calibri"/>
        <family val="2"/>
      </rPr>
      <t>/əE</t>
    </r>
    <r>
      <rPr>
        <vertAlign val="subscript"/>
        <sz val="10"/>
        <rFont val="Calibri"/>
        <family val="2"/>
      </rPr>
      <t>D,R</t>
    </r>
    <r>
      <rPr>
        <sz val="10"/>
        <rFont val="Calibri"/>
        <family val="2"/>
      </rPr>
      <t xml:space="preserve"> = [1/(1-E</t>
    </r>
    <r>
      <rPr>
        <vertAlign val="subscript"/>
        <sz val="10"/>
        <rFont val="Calibri"/>
        <family val="2"/>
      </rPr>
      <t>D,R</t>
    </r>
    <r>
      <rPr>
        <sz val="10"/>
        <rFont val="Calibri"/>
        <family val="2"/>
      </rPr>
      <t>)</t>
    </r>
    <r>
      <rPr>
        <vertAlign val="superscript"/>
        <sz val="10"/>
        <rFont val="Calibri"/>
        <family val="2"/>
      </rPr>
      <t>2</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]·δ</t>
    </r>
    <phoneticPr fontId="23" type="noConversion"/>
  </si>
  <si>
    <r>
      <t>ək</t>
    </r>
    <r>
      <rPr>
        <vertAlign val="subscript"/>
        <sz val="10"/>
        <rFont val="Calibri"/>
        <family val="2"/>
      </rPr>
      <t>BG</t>
    </r>
    <r>
      <rPr>
        <sz val="10"/>
        <rFont val="Calibri"/>
        <family val="2"/>
      </rPr>
      <t>/əF</t>
    </r>
    <r>
      <rPr>
        <vertAlign val="subscript"/>
        <sz val="10"/>
        <rFont val="Calibri"/>
        <family val="2"/>
      </rPr>
      <t>D</t>
    </r>
    <r>
      <rPr>
        <sz val="10"/>
        <rFont val="Calibri"/>
        <family val="2"/>
      </rPr>
      <t xml:space="preserve"> = [E</t>
    </r>
    <r>
      <rPr>
        <vertAlign val="subscript"/>
        <sz val="10"/>
        <rFont val="Calibri"/>
        <family val="2"/>
      </rPr>
      <t>D,R</t>
    </r>
    <r>
      <rPr>
        <sz val="10"/>
        <rFont val="Calibri"/>
        <family val="2"/>
      </rPr>
      <t>/(1-E</t>
    </r>
    <r>
      <rPr>
        <vertAlign val="subscript"/>
        <sz val="10"/>
        <rFont val="Calibri"/>
        <family val="2"/>
      </rPr>
      <t>D,R</t>
    </r>
    <r>
      <rPr>
        <sz val="10"/>
        <rFont val="Calibri"/>
        <family val="2"/>
      </rPr>
      <t>)]·K</t>
    </r>
    <r>
      <rPr>
        <vertAlign val="subscript"/>
        <sz val="10"/>
        <rFont val="Calibri"/>
        <family val="2"/>
      </rPr>
      <t>GB</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]·(d</t>
    </r>
    <r>
      <rPr>
        <vertAlign val="subscript"/>
        <sz val="10"/>
        <rFont val="Calibri"/>
        <family val="2"/>
      </rPr>
      <t>B</t>
    </r>
    <r>
      <rPr>
        <sz val="10"/>
        <rFont val="Calibri"/>
        <family val="2"/>
      </rPr>
      <t>/d</t>
    </r>
    <r>
      <rPr>
        <vertAlign val="subscript"/>
        <sz val="10"/>
        <rFont val="Calibri"/>
        <family val="2"/>
      </rPr>
      <t>G</t>
    </r>
    <r>
      <rPr>
        <sz val="10"/>
        <rFont val="Calibri"/>
        <family val="2"/>
      </rPr>
      <t>)</t>
    </r>
    <phoneticPr fontId="23" type="noConversion"/>
  </si>
  <si>
    <r>
      <t>ək</t>
    </r>
    <r>
      <rPr>
        <vertAlign val="subscript"/>
        <sz val="10"/>
        <rFont val="Calibri"/>
        <family val="2"/>
      </rPr>
      <t>BG</t>
    </r>
    <r>
      <rPr>
        <sz val="10"/>
        <rFont val="Calibri"/>
        <family val="2"/>
      </rPr>
      <t>/əE</t>
    </r>
    <r>
      <rPr>
        <vertAlign val="subscript"/>
        <sz val="10"/>
        <rFont val="Calibri"/>
        <family val="2"/>
      </rPr>
      <t>D,R</t>
    </r>
    <r>
      <rPr>
        <sz val="10"/>
        <rFont val="Calibri"/>
        <family val="2"/>
      </rPr>
      <t xml:space="preserve"> = [F</t>
    </r>
    <r>
      <rPr>
        <vertAlign val="subscript"/>
        <sz val="10"/>
        <rFont val="Calibri"/>
        <family val="2"/>
      </rPr>
      <t>D</t>
    </r>
    <r>
      <rPr>
        <sz val="10"/>
        <rFont val="Calibri"/>
        <family val="2"/>
      </rPr>
      <t>/(1-E</t>
    </r>
    <r>
      <rPr>
        <vertAlign val="subscript"/>
        <sz val="10"/>
        <rFont val="Calibri"/>
        <family val="2"/>
      </rPr>
      <t>D,R</t>
    </r>
    <r>
      <rPr>
        <sz val="10"/>
        <rFont val="Calibri"/>
        <family val="2"/>
      </rPr>
      <t>)</t>
    </r>
    <r>
      <rPr>
        <vertAlign val="superscript"/>
        <sz val="10"/>
        <rFont val="Calibri"/>
        <family val="2"/>
      </rPr>
      <t>2</t>
    </r>
    <r>
      <rPr>
        <sz val="10"/>
        <rFont val="Calibri"/>
        <family val="2"/>
      </rPr>
      <t>]·K</t>
    </r>
    <r>
      <rPr>
        <vertAlign val="subscript"/>
        <sz val="10"/>
        <rFont val="Calibri"/>
        <family val="2"/>
      </rPr>
      <t>GB</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]·(d</t>
    </r>
    <r>
      <rPr>
        <vertAlign val="subscript"/>
        <sz val="10"/>
        <rFont val="Calibri"/>
        <family val="2"/>
      </rPr>
      <t>B</t>
    </r>
    <r>
      <rPr>
        <sz val="10"/>
        <rFont val="Calibri"/>
        <family val="2"/>
      </rPr>
      <t>/d</t>
    </r>
    <r>
      <rPr>
        <vertAlign val="subscript"/>
        <sz val="10"/>
        <rFont val="Calibri"/>
        <family val="2"/>
      </rPr>
      <t>G</t>
    </r>
    <r>
      <rPr>
        <sz val="10"/>
        <rFont val="Calibri"/>
        <family val="2"/>
      </rPr>
      <t>)</t>
    </r>
    <phoneticPr fontId="23" type="noConversion"/>
  </si>
  <si>
    <r>
      <t>ək</t>
    </r>
    <r>
      <rPr>
        <vertAlign val="subscript"/>
        <sz val="10"/>
        <rFont val="Calibri"/>
        <family val="2"/>
      </rPr>
      <t>BE</t>
    </r>
    <r>
      <rPr>
        <sz val="10"/>
        <rFont val="Calibri"/>
        <family val="2"/>
      </rPr>
      <t>/əF</t>
    </r>
    <r>
      <rPr>
        <vertAlign val="subscript"/>
        <sz val="10"/>
        <rFont val="Calibri"/>
        <family val="2"/>
      </rPr>
      <t>D</t>
    </r>
    <r>
      <rPr>
        <sz val="10"/>
        <rFont val="Calibri"/>
        <family val="2"/>
      </rPr>
      <t xml:space="preserve"> = [E</t>
    </r>
    <r>
      <rPr>
        <vertAlign val="subscript"/>
        <sz val="10"/>
        <rFont val="Calibri"/>
        <family val="2"/>
      </rPr>
      <t>D,R</t>
    </r>
    <r>
      <rPr>
        <sz val="10"/>
        <rFont val="Calibri"/>
        <family val="2"/>
      </rPr>
      <t>/(1-E</t>
    </r>
    <r>
      <rPr>
        <vertAlign val="subscript"/>
        <sz val="10"/>
        <rFont val="Calibri"/>
        <family val="2"/>
      </rPr>
      <t>D,R</t>
    </r>
    <r>
      <rPr>
        <sz val="10"/>
        <rFont val="Calibri"/>
        <family val="2"/>
      </rPr>
      <t>)]·K</t>
    </r>
    <r>
      <rPr>
        <vertAlign val="subscript"/>
        <sz val="10"/>
        <rFont val="Calibri"/>
        <family val="2"/>
      </rPr>
      <t>GB</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]·(d</t>
    </r>
    <r>
      <rPr>
        <vertAlign val="subscript"/>
        <sz val="10"/>
        <rFont val="Calibri"/>
        <family val="2"/>
      </rPr>
      <t>B</t>
    </r>
    <r>
      <rPr>
        <sz val="10"/>
        <rFont val="Calibri"/>
        <family val="2"/>
      </rPr>
      <t>/d</t>
    </r>
    <r>
      <rPr>
        <vertAlign val="subscript"/>
        <sz val="10"/>
        <rFont val="Calibri"/>
        <family val="2"/>
      </rPr>
      <t>G</t>
    </r>
    <r>
      <rPr>
        <sz val="10"/>
        <rFont val="Calibri"/>
        <family val="2"/>
      </rPr>
      <t>)</t>
    </r>
    <phoneticPr fontId="23" type="noConversion"/>
  </si>
  <si>
    <r>
      <t>ək</t>
    </r>
    <r>
      <rPr>
        <vertAlign val="subscript"/>
        <sz val="10"/>
        <rFont val="Calibri"/>
        <family val="2"/>
      </rPr>
      <t>BE</t>
    </r>
    <r>
      <rPr>
        <sz val="10"/>
        <rFont val="Calibri"/>
        <family val="2"/>
      </rPr>
      <t>/əb</t>
    </r>
    <r>
      <rPr>
        <vertAlign val="subscript"/>
        <sz val="10"/>
        <rFont val="Calibri"/>
        <family val="2"/>
      </rPr>
      <t>1</t>
    </r>
    <r>
      <rPr>
        <sz val="10"/>
        <rFont val="Calibri"/>
        <family val="2"/>
      </rPr>
      <t xml:space="preserve"> = {e</t>
    </r>
    <r>
      <rPr>
        <vertAlign val="superscript"/>
        <sz val="10"/>
        <rFont val="Calibri"/>
        <family val="2"/>
      </rPr>
      <t>b0</t>
    </r>
    <r>
      <rPr>
        <sz val="10"/>
        <rFont val="Calibri"/>
        <family val="2"/>
      </rPr>
      <t>·(b</t>
    </r>
    <r>
      <rPr>
        <vertAlign val="subscript"/>
        <sz val="10"/>
        <rFont val="Calibri"/>
        <family val="2"/>
      </rPr>
      <t>1</t>
    </r>
    <r>
      <rPr>
        <sz val="10"/>
        <rFont val="Calibri"/>
        <family val="2"/>
      </rPr>
      <t>·t</t>
    </r>
    <r>
      <rPr>
        <vertAlign val="subscript"/>
        <sz val="10"/>
        <rFont val="Calibri"/>
        <family val="2"/>
      </rPr>
      <t>u</t>
    </r>
    <r>
      <rPr>
        <sz val="10"/>
        <rFont val="Calibri"/>
        <family val="2"/>
      </rPr>
      <t>·e</t>
    </r>
    <r>
      <rPr>
        <vertAlign val="superscript"/>
        <sz val="10"/>
        <rFont val="Calibri"/>
        <family val="2"/>
      </rPr>
      <t>b1·tu</t>
    </r>
    <r>
      <rPr>
        <sz val="10"/>
        <rFont val="Calibri"/>
        <family val="2"/>
      </rPr>
      <t>-e</t>
    </r>
    <r>
      <rPr>
        <vertAlign val="superscript"/>
        <sz val="10"/>
        <rFont val="Calibri"/>
        <family val="2"/>
      </rPr>
      <t>b1·tu</t>
    </r>
    <r>
      <rPr>
        <sz val="10"/>
        <rFont val="Calibri"/>
        <family val="2"/>
      </rPr>
      <t>+1)/[C</t>
    </r>
    <r>
      <rPr>
        <vertAlign val="subscript"/>
        <sz val="10"/>
        <rFont val="Calibri"/>
        <family val="2"/>
      </rPr>
      <t>D</t>
    </r>
    <r>
      <rPr>
        <sz val="10"/>
        <rFont val="Calibri"/>
        <family val="2"/>
      </rPr>
      <t>·(1-e</t>
    </r>
    <r>
      <rPr>
        <vertAlign val="superscript"/>
        <sz val="10"/>
        <rFont val="Calibri"/>
        <family val="2"/>
      </rPr>
      <t>b1·tu</t>
    </r>
    <r>
      <rPr>
        <sz val="10"/>
        <rFont val="Calibri"/>
        <family val="2"/>
      </rPr>
      <t>)</t>
    </r>
    <r>
      <rPr>
        <vertAlign val="superscript"/>
        <sz val="10"/>
        <rFont val="Calibri"/>
        <family val="2"/>
      </rPr>
      <t>2</t>
    </r>
    <r>
      <rPr>
        <sz val="10"/>
        <rFont val="Calibri"/>
        <family val="2"/>
      </rPr>
      <t>}·[E</t>
    </r>
    <r>
      <rPr>
        <vertAlign val="subscript"/>
        <sz val="10"/>
        <rFont val="Calibri"/>
        <family val="2"/>
      </rPr>
      <t>D,R</t>
    </r>
    <r>
      <rPr>
        <sz val="10"/>
        <rFont val="Calibri"/>
        <family val="2"/>
      </rPr>
      <t>/(1-E</t>
    </r>
    <r>
      <rPr>
        <vertAlign val="subscript"/>
        <sz val="10"/>
        <rFont val="Calibri"/>
        <family val="2"/>
      </rPr>
      <t>D,R</t>
    </r>
    <r>
      <rPr>
        <sz val="10"/>
        <rFont val="Calibri"/>
        <family val="2"/>
      </rPr>
      <t>)]·K</t>
    </r>
    <r>
      <rPr>
        <vertAlign val="subscript"/>
        <sz val="10"/>
        <rFont val="Calibri"/>
        <family val="2"/>
      </rPr>
      <t>GB</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]·(d</t>
    </r>
    <r>
      <rPr>
        <vertAlign val="subscript"/>
        <sz val="10"/>
        <rFont val="Calibri"/>
        <family val="2"/>
      </rPr>
      <t>B</t>
    </r>
    <r>
      <rPr>
        <sz val="10"/>
        <rFont val="Calibri"/>
        <family val="2"/>
      </rPr>
      <t>/d</t>
    </r>
    <r>
      <rPr>
        <vertAlign val="subscript"/>
        <sz val="10"/>
        <rFont val="Calibri"/>
        <family val="2"/>
      </rPr>
      <t>G</t>
    </r>
    <r>
      <rPr>
        <sz val="10"/>
        <rFont val="Calibri"/>
        <family val="2"/>
      </rPr>
      <t>)</t>
    </r>
    <phoneticPr fontId="23" type="noConversion"/>
  </si>
  <si>
    <r>
      <t>ək</t>
    </r>
    <r>
      <rPr>
        <vertAlign val="subscript"/>
        <sz val="10"/>
        <rFont val="Calibri"/>
        <family val="2"/>
      </rPr>
      <t>BE</t>
    </r>
    <r>
      <rPr>
        <sz val="10"/>
        <rFont val="Calibri"/>
        <family val="2"/>
      </rPr>
      <t>/əE</t>
    </r>
    <r>
      <rPr>
        <vertAlign val="subscript"/>
        <sz val="10"/>
        <rFont val="Calibri"/>
        <family val="2"/>
      </rPr>
      <t>D,R</t>
    </r>
    <r>
      <rPr>
        <sz val="10"/>
        <rFont val="Calibri"/>
        <family val="2"/>
      </rPr>
      <t xml:space="preserve"> = {[C</t>
    </r>
    <r>
      <rPr>
        <vertAlign val="subscript"/>
        <sz val="10"/>
        <rFont val="Calibri"/>
        <family val="2"/>
      </rPr>
      <t>D</t>
    </r>
    <r>
      <rPr>
        <sz val="10"/>
        <rFont val="Calibri"/>
        <family val="2"/>
      </rPr>
      <t>·F</t>
    </r>
    <r>
      <rPr>
        <vertAlign val="subscript"/>
        <sz val="10"/>
        <rFont val="Calibri"/>
        <family val="2"/>
      </rPr>
      <t>D</t>
    </r>
    <r>
      <rPr>
        <sz val="10"/>
        <rFont val="Calibri"/>
        <family val="2"/>
      </rPr>
      <t>·(1-e</t>
    </r>
    <r>
      <rPr>
        <vertAlign val="superscript"/>
        <sz val="10"/>
        <rFont val="Calibri"/>
        <family val="2"/>
      </rPr>
      <t>b1·tu</t>
    </r>
    <r>
      <rPr>
        <sz val="10"/>
        <rFont val="Calibri"/>
        <family val="2"/>
      </rPr>
      <t>)+e</t>
    </r>
    <r>
      <rPr>
        <vertAlign val="superscript"/>
        <sz val="10"/>
        <rFont val="Calibri"/>
        <family val="2"/>
      </rPr>
      <t>b0</t>
    </r>
    <r>
      <rPr>
        <sz val="10"/>
        <rFont val="Calibri"/>
        <family val="2"/>
      </rPr>
      <t>·b</t>
    </r>
    <r>
      <rPr>
        <vertAlign val="subscript"/>
        <sz val="10"/>
        <rFont val="Calibri"/>
        <family val="2"/>
      </rPr>
      <t>1</t>
    </r>
    <r>
      <rPr>
        <sz val="10"/>
        <rFont val="Calibri"/>
        <family val="2"/>
      </rPr>
      <t>]/[C</t>
    </r>
    <r>
      <rPr>
        <vertAlign val="subscript"/>
        <sz val="10"/>
        <rFont val="Calibri"/>
        <family val="2"/>
      </rPr>
      <t>D</t>
    </r>
    <r>
      <rPr>
        <sz val="10"/>
        <rFont val="Calibri"/>
        <family val="2"/>
      </rPr>
      <t>·(1-e</t>
    </r>
    <r>
      <rPr>
        <vertAlign val="superscript"/>
        <sz val="10"/>
        <rFont val="Calibri"/>
        <family val="2"/>
      </rPr>
      <t>b1·tu</t>
    </r>
    <r>
      <rPr>
        <sz val="10"/>
        <rFont val="Calibri"/>
        <family val="2"/>
      </rPr>
      <t>)]}·[1/(1-E</t>
    </r>
    <r>
      <rPr>
        <vertAlign val="subscript"/>
        <sz val="10"/>
        <rFont val="Calibri"/>
        <family val="2"/>
      </rPr>
      <t>D,R</t>
    </r>
    <r>
      <rPr>
        <sz val="10"/>
        <rFont val="Calibri"/>
        <family val="2"/>
      </rPr>
      <t>)</t>
    </r>
    <r>
      <rPr>
        <vertAlign val="superscript"/>
        <sz val="10"/>
        <rFont val="Calibri"/>
        <family val="2"/>
      </rPr>
      <t>2</t>
    </r>
    <r>
      <rPr>
        <sz val="10"/>
        <rFont val="Calibri"/>
        <family val="2"/>
      </rPr>
      <t>]·K</t>
    </r>
    <r>
      <rPr>
        <vertAlign val="subscript"/>
        <sz val="10"/>
        <rFont val="Calibri"/>
        <family val="2"/>
      </rPr>
      <t>GB</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]·(d</t>
    </r>
    <r>
      <rPr>
        <vertAlign val="subscript"/>
        <sz val="10"/>
        <rFont val="Calibri"/>
        <family val="2"/>
      </rPr>
      <t>B</t>
    </r>
    <r>
      <rPr>
        <sz val="10"/>
        <rFont val="Calibri"/>
        <family val="2"/>
      </rPr>
      <t>/d</t>
    </r>
    <r>
      <rPr>
        <vertAlign val="subscript"/>
        <sz val="10"/>
        <rFont val="Calibri"/>
        <family val="2"/>
      </rPr>
      <t>G</t>
    </r>
    <r>
      <rPr>
        <sz val="10"/>
        <rFont val="Calibri"/>
        <family val="2"/>
      </rPr>
      <t>)</t>
    </r>
    <phoneticPr fontId="23" type="noConversion"/>
  </si>
  <si>
    <r>
      <t>ək</t>
    </r>
    <r>
      <rPr>
        <vertAlign val="subscript"/>
        <sz val="10"/>
        <rFont val="Calibri"/>
        <family val="2"/>
      </rPr>
      <t>GM</t>
    </r>
    <r>
      <rPr>
        <sz val="10"/>
        <rFont val="Calibri"/>
        <family val="2"/>
      </rPr>
      <t>/əE</t>
    </r>
    <r>
      <rPr>
        <vertAlign val="subscript"/>
        <sz val="10"/>
        <rFont val="Calibri"/>
        <family val="2"/>
      </rPr>
      <t>D</t>
    </r>
    <r>
      <rPr>
        <sz val="10"/>
        <rFont val="Calibri"/>
        <family val="2"/>
      </rPr>
      <t xml:space="preserve"> = {E</t>
    </r>
    <r>
      <rPr>
        <vertAlign val="subscript"/>
        <sz val="10"/>
        <rFont val="Calibri"/>
        <family val="2"/>
      </rPr>
      <t>D,R</t>
    </r>
    <r>
      <rPr>
        <sz val="10"/>
        <rFont val="Calibri"/>
        <family val="2"/>
      </rPr>
      <t>/[E</t>
    </r>
    <r>
      <rPr>
        <vertAlign val="subscript"/>
        <sz val="10"/>
        <rFont val="Calibri"/>
        <family val="2"/>
      </rPr>
      <t>D</t>
    </r>
    <r>
      <rPr>
        <vertAlign val="superscript"/>
        <sz val="10"/>
        <rFont val="Calibri"/>
        <family val="2"/>
      </rPr>
      <t>2</t>
    </r>
    <r>
      <rPr>
        <sz val="10"/>
        <rFont val="Calibri"/>
        <family val="2"/>
      </rPr>
      <t>·(E</t>
    </r>
    <r>
      <rPr>
        <vertAlign val="subscript"/>
        <sz val="10"/>
        <rFont val="Calibri"/>
        <family val="2"/>
      </rPr>
      <t>D,R</t>
    </r>
    <r>
      <rPr>
        <sz val="10"/>
        <rFont val="Calibri"/>
        <family val="2"/>
      </rPr>
      <t>-1)]}·[(1-ε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]·δ</t>
    </r>
    <phoneticPr fontId="23" type="noConversion"/>
  </si>
  <si>
    <r>
      <t>ək</t>
    </r>
    <r>
      <rPr>
        <vertAlign val="subscript"/>
        <sz val="10"/>
        <rFont val="Calibri"/>
        <family val="2"/>
      </rPr>
      <t>GM</t>
    </r>
    <r>
      <rPr>
        <sz val="10"/>
        <rFont val="Calibri"/>
        <family val="2"/>
      </rPr>
      <t>/əE</t>
    </r>
    <r>
      <rPr>
        <vertAlign val="subscript"/>
        <sz val="10"/>
        <rFont val="Calibri"/>
        <family val="2"/>
      </rPr>
      <t>D,R</t>
    </r>
    <r>
      <rPr>
        <sz val="10"/>
        <rFont val="Calibri"/>
        <family val="2"/>
      </rPr>
      <t xml:space="preserve"> = {(1-E</t>
    </r>
    <r>
      <rPr>
        <vertAlign val="subscript"/>
        <sz val="10"/>
        <rFont val="Calibri"/>
        <family val="2"/>
      </rPr>
      <t>D</t>
    </r>
    <r>
      <rPr>
        <sz val="10"/>
        <rFont val="Calibri"/>
        <family val="2"/>
      </rPr>
      <t>)/[E</t>
    </r>
    <r>
      <rPr>
        <vertAlign val="subscript"/>
        <sz val="10"/>
        <rFont val="Calibri"/>
        <family val="2"/>
      </rPr>
      <t>D</t>
    </r>
    <r>
      <rPr>
        <sz val="10"/>
        <rFont val="Calibri"/>
        <family val="2"/>
      </rPr>
      <t>·(1-E</t>
    </r>
    <r>
      <rPr>
        <vertAlign val="subscript"/>
        <sz val="10"/>
        <rFont val="Calibri"/>
        <family val="2"/>
      </rPr>
      <t>D,R</t>
    </r>
    <r>
      <rPr>
        <sz val="10"/>
        <rFont val="Calibri"/>
        <family val="2"/>
      </rPr>
      <t>)</t>
    </r>
    <r>
      <rPr>
        <vertAlign val="superscript"/>
        <sz val="10"/>
        <rFont val="Calibri"/>
        <family val="2"/>
      </rPr>
      <t>2</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]·δ</t>
    </r>
    <phoneticPr fontId="23" type="noConversion"/>
  </si>
  <si>
    <r>
      <t>ək</t>
    </r>
    <r>
      <rPr>
        <vertAlign val="subscript"/>
        <sz val="10"/>
        <rFont val="Calibri"/>
        <family val="2"/>
      </rPr>
      <t>BT,R</t>
    </r>
    <r>
      <rPr>
        <sz val="10"/>
        <rFont val="Calibri"/>
        <family val="2"/>
      </rPr>
      <t>/əC</t>
    </r>
    <r>
      <rPr>
        <vertAlign val="subscript"/>
        <sz val="10"/>
        <rFont val="Calibri"/>
        <family val="2"/>
      </rPr>
      <t>D</t>
    </r>
    <r>
      <rPr>
        <sz val="10"/>
        <rFont val="Calibri"/>
        <family val="2"/>
      </rPr>
      <t xml:space="preserve"> = -{e</t>
    </r>
    <r>
      <rPr>
        <vertAlign val="superscript"/>
        <sz val="10"/>
        <rFont val="Calibri"/>
        <family val="2"/>
      </rPr>
      <t>b0</t>
    </r>
    <r>
      <rPr>
        <sz val="10"/>
        <rFont val="Calibri"/>
        <family val="2"/>
      </rPr>
      <t>·b</t>
    </r>
    <r>
      <rPr>
        <vertAlign val="subscript"/>
        <sz val="10"/>
        <rFont val="Calibri"/>
        <family val="2"/>
      </rPr>
      <t>1</t>
    </r>
    <r>
      <rPr>
        <sz val="10"/>
        <rFont val="Calibri"/>
        <family val="2"/>
      </rPr>
      <t>/[C</t>
    </r>
    <r>
      <rPr>
        <vertAlign val="subscript"/>
        <sz val="10"/>
        <rFont val="Calibri"/>
        <family val="2"/>
      </rPr>
      <t>D</t>
    </r>
    <r>
      <rPr>
        <vertAlign val="superscript"/>
        <sz val="10"/>
        <rFont val="Calibri"/>
        <family val="2"/>
      </rPr>
      <t>2</t>
    </r>
    <r>
      <rPr>
        <sz val="10"/>
        <rFont val="Calibri"/>
        <family val="2"/>
      </rPr>
      <t>·(1-e</t>
    </r>
    <r>
      <rPr>
        <vertAlign val="superscript"/>
        <sz val="10"/>
        <rFont val="Calibri"/>
        <family val="2"/>
      </rPr>
      <t>b1·tu</t>
    </r>
    <r>
      <rPr>
        <sz val="10"/>
        <rFont val="Calibri"/>
        <family val="2"/>
      </rPr>
      <t>)]}·[E</t>
    </r>
    <r>
      <rPr>
        <vertAlign val="subscript"/>
        <sz val="10"/>
        <rFont val="Calibri"/>
        <family val="2"/>
      </rPr>
      <t>D,R</t>
    </r>
    <r>
      <rPr>
        <sz val="10"/>
        <rFont val="Calibri"/>
        <family val="2"/>
      </rPr>
      <t>/(1-E</t>
    </r>
    <r>
      <rPr>
        <vertAlign val="subscript"/>
        <sz val="10"/>
        <rFont val="Calibri"/>
        <family val="2"/>
      </rPr>
      <t>D,R</t>
    </r>
    <r>
      <rPr>
        <sz val="10"/>
        <rFont val="Calibri"/>
        <family val="2"/>
      </rPr>
      <t>)]·K</t>
    </r>
    <r>
      <rPr>
        <vertAlign val="subscript"/>
        <sz val="10"/>
        <rFont val="Calibri"/>
        <family val="2"/>
      </rPr>
      <t>GB</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]·(d</t>
    </r>
    <r>
      <rPr>
        <vertAlign val="subscript"/>
        <sz val="10"/>
        <rFont val="Calibri"/>
        <family val="2"/>
      </rPr>
      <t>B</t>
    </r>
    <r>
      <rPr>
        <sz val="10"/>
        <rFont val="Calibri"/>
        <family val="2"/>
      </rPr>
      <t>/d</t>
    </r>
    <r>
      <rPr>
        <vertAlign val="subscript"/>
        <sz val="10"/>
        <rFont val="Calibri"/>
        <family val="2"/>
      </rPr>
      <t>G</t>
    </r>
    <r>
      <rPr>
        <sz val="10"/>
        <rFont val="Calibri"/>
        <family val="2"/>
      </rPr>
      <t>)</t>
    </r>
    <phoneticPr fontId="23" type="noConversion"/>
  </si>
  <si>
    <r>
      <t>ək</t>
    </r>
    <r>
      <rPr>
        <vertAlign val="subscript"/>
        <sz val="10"/>
        <rFont val="Calibri"/>
        <family val="2"/>
      </rPr>
      <t>BT,R</t>
    </r>
    <r>
      <rPr>
        <sz val="10"/>
        <rFont val="Calibri"/>
        <family val="2"/>
      </rPr>
      <t>/əF</t>
    </r>
    <r>
      <rPr>
        <vertAlign val="subscript"/>
        <sz val="10"/>
        <rFont val="Calibri"/>
        <family val="2"/>
      </rPr>
      <t>D</t>
    </r>
    <r>
      <rPr>
        <sz val="10"/>
        <rFont val="Calibri"/>
        <family val="2"/>
      </rPr>
      <t xml:space="preserve"> = [E</t>
    </r>
    <r>
      <rPr>
        <vertAlign val="subscript"/>
        <sz val="10"/>
        <rFont val="Calibri"/>
        <family val="2"/>
      </rPr>
      <t>D,R</t>
    </r>
    <r>
      <rPr>
        <sz val="10"/>
        <rFont val="Calibri"/>
        <family val="2"/>
      </rPr>
      <t>/(1-E</t>
    </r>
    <r>
      <rPr>
        <vertAlign val="subscript"/>
        <sz val="10"/>
        <rFont val="Calibri"/>
        <family val="2"/>
      </rPr>
      <t>D,R</t>
    </r>
    <r>
      <rPr>
        <sz val="10"/>
        <rFont val="Calibri"/>
        <family val="2"/>
      </rPr>
      <t>)]·K</t>
    </r>
    <r>
      <rPr>
        <vertAlign val="subscript"/>
        <sz val="10"/>
        <rFont val="Calibri"/>
        <family val="2"/>
      </rPr>
      <t>GB</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]·(d</t>
    </r>
    <r>
      <rPr>
        <vertAlign val="subscript"/>
        <sz val="10"/>
        <rFont val="Calibri"/>
        <family val="2"/>
      </rPr>
      <t>B</t>
    </r>
    <r>
      <rPr>
        <sz val="10"/>
        <rFont val="Calibri"/>
        <family val="2"/>
      </rPr>
      <t>/d</t>
    </r>
    <r>
      <rPr>
        <vertAlign val="subscript"/>
        <sz val="10"/>
        <rFont val="Calibri"/>
        <family val="2"/>
      </rPr>
      <t>G</t>
    </r>
    <r>
      <rPr>
        <sz val="10"/>
        <rFont val="Calibri"/>
        <family val="2"/>
      </rPr>
      <t>)</t>
    </r>
    <phoneticPr fontId="23" type="noConversion"/>
  </si>
  <si>
    <r>
      <t>ək</t>
    </r>
    <r>
      <rPr>
        <vertAlign val="subscript"/>
        <sz val="10"/>
        <rFont val="Calibri"/>
        <family val="2"/>
      </rPr>
      <t>BT,R</t>
    </r>
    <r>
      <rPr>
        <sz val="10"/>
        <rFont val="Calibri"/>
        <family val="2"/>
      </rPr>
      <t>/əE</t>
    </r>
    <r>
      <rPr>
        <vertAlign val="subscript"/>
        <sz val="10"/>
        <rFont val="Calibri"/>
        <family val="2"/>
      </rPr>
      <t>D,R</t>
    </r>
    <r>
      <rPr>
        <sz val="10"/>
        <rFont val="Calibri"/>
        <family val="2"/>
      </rPr>
      <t xml:space="preserve"> = [1/(1-E</t>
    </r>
    <r>
      <rPr>
        <vertAlign val="subscript"/>
        <sz val="10"/>
        <rFont val="Calibri"/>
        <family val="2"/>
      </rPr>
      <t>D,R</t>
    </r>
    <r>
      <rPr>
        <sz val="10"/>
        <rFont val="Calibri"/>
        <family val="2"/>
      </rPr>
      <t>)</t>
    </r>
    <r>
      <rPr>
        <vertAlign val="superscript"/>
        <sz val="10"/>
        <rFont val="Calibri"/>
        <family val="2"/>
      </rPr>
      <t>2</t>
    </r>
    <r>
      <rPr>
        <sz val="10"/>
        <rFont val="Calibri"/>
        <family val="2"/>
      </rPr>
      <t>]·{[C</t>
    </r>
    <r>
      <rPr>
        <vertAlign val="subscript"/>
        <sz val="10"/>
        <rFont val="Calibri"/>
        <family val="2"/>
      </rPr>
      <t>D</t>
    </r>
    <r>
      <rPr>
        <sz val="10"/>
        <rFont val="Calibri"/>
        <family val="2"/>
      </rPr>
      <t>·F</t>
    </r>
    <r>
      <rPr>
        <vertAlign val="subscript"/>
        <sz val="10"/>
        <rFont val="Calibri"/>
        <family val="2"/>
      </rPr>
      <t>D</t>
    </r>
    <r>
      <rPr>
        <sz val="10"/>
        <rFont val="Calibri"/>
        <family val="2"/>
      </rPr>
      <t>·(1-e</t>
    </r>
    <r>
      <rPr>
        <vertAlign val="superscript"/>
        <sz val="10"/>
        <rFont val="Calibri"/>
        <family val="2"/>
      </rPr>
      <t>b1·tu</t>
    </r>
    <r>
      <rPr>
        <sz val="10"/>
        <rFont val="Calibri"/>
        <family val="2"/>
      </rPr>
      <t>)+e</t>
    </r>
    <r>
      <rPr>
        <vertAlign val="superscript"/>
        <sz val="10"/>
        <rFont val="Calibri"/>
        <family val="2"/>
      </rPr>
      <t>b0</t>
    </r>
    <r>
      <rPr>
        <sz val="10"/>
        <rFont val="Calibri"/>
        <family val="2"/>
      </rPr>
      <t>·b</t>
    </r>
    <r>
      <rPr>
        <vertAlign val="subscript"/>
        <sz val="10"/>
        <rFont val="Calibri"/>
        <family val="2"/>
      </rPr>
      <t>1</t>
    </r>
    <r>
      <rPr>
        <sz val="10"/>
        <rFont val="Calibri"/>
        <family val="2"/>
      </rPr>
      <t>]/[C</t>
    </r>
    <r>
      <rPr>
        <vertAlign val="subscript"/>
        <sz val="10"/>
        <rFont val="Calibri"/>
        <family val="2"/>
      </rPr>
      <t>D</t>
    </r>
    <r>
      <rPr>
        <sz val="10"/>
        <rFont val="Calibri"/>
        <family val="2"/>
      </rPr>
      <t>·(1-e</t>
    </r>
    <r>
      <rPr>
        <vertAlign val="superscript"/>
        <sz val="10"/>
        <rFont val="Calibri"/>
        <family val="2"/>
      </rPr>
      <t>b1·tu</t>
    </r>
    <r>
      <rPr>
        <sz val="10"/>
        <rFont val="Calibri"/>
        <family val="2"/>
      </rPr>
      <t>)]}·K</t>
    </r>
    <r>
      <rPr>
        <vertAlign val="subscript"/>
        <sz val="10"/>
        <rFont val="Calibri"/>
        <family val="2"/>
      </rPr>
      <t>GB</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]·(d</t>
    </r>
    <r>
      <rPr>
        <vertAlign val="subscript"/>
        <sz val="10"/>
        <rFont val="Calibri"/>
        <family val="2"/>
      </rPr>
      <t>B</t>
    </r>
    <r>
      <rPr>
        <sz val="10"/>
        <rFont val="Calibri"/>
        <family val="2"/>
      </rPr>
      <t>/d</t>
    </r>
    <r>
      <rPr>
        <vertAlign val="subscript"/>
        <sz val="10"/>
        <rFont val="Calibri"/>
        <family val="2"/>
      </rPr>
      <t>G</t>
    </r>
    <r>
      <rPr>
        <sz val="10"/>
        <rFont val="Calibri"/>
        <family val="2"/>
      </rPr>
      <t>)</t>
    </r>
    <phoneticPr fontId="23" type="noConversion"/>
  </si>
  <si>
    <r>
      <t>ək</t>
    </r>
    <r>
      <rPr>
        <vertAlign val="subscript"/>
        <sz val="10"/>
        <rFont val="Calibri"/>
        <family val="2"/>
      </rPr>
      <t>BT,R</t>
    </r>
    <r>
      <rPr>
        <sz val="10"/>
        <rFont val="Calibri"/>
        <family val="2"/>
      </rPr>
      <t>/əb</t>
    </r>
    <r>
      <rPr>
        <vertAlign val="subscript"/>
        <sz val="10"/>
        <rFont val="Calibri"/>
        <family val="2"/>
      </rPr>
      <t>0</t>
    </r>
    <r>
      <rPr>
        <sz val="10"/>
        <rFont val="Calibri"/>
        <family val="2"/>
      </rPr>
      <t xml:space="preserve"> = {e</t>
    </r>
    <r>
      <rPr>
        <vertAlign val="superscript"/>
        <sz val="10"/>
        <rFont val="Calibri"/>
        <family val="2"/>
      </rPr>
      <t>b0</t>
    </r>
    <r>
      <rPr>
        <sz val="10"/>
        <rFont val="Calibri"/>
        <family val="2"/>
      </rPr>
      <t>·b</t>
    </r>
    <r>
      <rPr>
        <vertAlign val="subscript"/>
        <sz val="10"/>
        <rFont val="Calibri"/>
        <family val="2"/>
      </rPr>
      <t>1</t>
    </r>
    <r>
      <rPr>
        <sz val="10"/>
        <rFont val="Calibri"/>
        <family val="2"/>
      </rPr>
      <t>/[C</t>
    </r>
    <r>
      <rPr>
        <vertAlign val="subscript"/>
        <sz val="10"/>
        <rFont val="Calibri"/>
        <family val="2"/>
      </rPr>
      <t>D</t>
    </r>
    <r>
      <rPr>
        <sz val="10"/>
        <rFont val="Calibri"/>
        <family val="2"/>
      </rPr>
      <t>·(1-e</t>
    </r>
    <r>
      <rPr>
        <vertAlign val="superscript"/>
        <sz val="10"/>
        <rFont val="Calibri"/>
        <family val="2"/>
      </rPr>
      <t>b1·tu</t>
    </r>
    <r>
      <rPr>
        <sz val="10"/>
        <rFont val="Calibri"/>
        <family val="2"/>
      </rPr>
      <t>)]}·[E</t>
    </r>
    <r>
      <rPr>
        <vertAlign val="subscript"/>
        <sz val="10"/>
        <rFont val="Calibri"/>
        <family val="2"/>
      </rPr>
      <t>D,R</t>
    </r>
    <r>
      <rPr>
        <sz val="10"/>
        <rFont val="Calibri"/>
        <family val="2"/>
      </rPr>
      <t>/(1-E</t>
    </r>
    <r>
      <rPr>
        <vertAlign val="subscript"/>
        <sz val="10"/>
        <rFont val="Calibri"/>
        <family val="2"/>
      </rPr>
      <t>D,R</t>
    </r>
    <r>
      <rPr>
        <sz val="10"/>
        <rFont val="Calibri"/>
        <family val="2"/>
      </rPr>
      <t>)]·K</t>
    </r>
    <r>
      <rPr>
        <vertAlign val="subscript"/>
        <sz val="10"/>
        <rFont val="Calibri"/>
        <family val="2"/>
      </rPr>
      <t>GB</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]·(d</t>
    </r>
    <r>
      <rPr>
        <vertAlign val="subscript"/>
        <sz val="10"/>
        <rFont val="Calibri"/>
        <family val="2"/>
      </rPr>
      <t>B</t>
    </r>
    <r>
      <rPr>
        <sz val="10"/>
        <rFont val="Calibri"/>
        <family val="2"/>
      </rPr>
      <t>/d</t>
    </r>
    <r>
      <rPr>
        <vertAlign val="subscript"/>
        <sz val="10"/>
        <rFont val="Calibri"/>
        <family val="2"/>
      </rPr>
      <t>G</t>
    </r>
    <r>
      <rPr>
        <sz val="10"/>
        <rFont val="Calibri"/>
        <family val="2"/>
      </rPr>
      <t>)</t>
    </r>
    <phoneticPr fontId="23" type="noConversion"/>
  </si>
  <si>
    <r>
      <t>ək</t>
    </r>
    <r>
      <rPr>
        <vertAlign val="subscript"/>
        <sz val="10"/>
        <rFont val="Calibri"/>
        <family val="2"/>
      </rPr>
      <t>BT,R</t>
    </r>
    <r>
      <rPr>
        <sz val="10"/>
        <rFont val="Calibri"/>
        <family val="2"/>
      </rPr>
      <t>/əb</t>
    </r>
    <r>
      <rPr>
        <vertAlign val="subscript"/>
        <sz val="10"/>
        <rFont val="Calibri"/>
        <family val="2"/>
      </rPr>
      <t>1</t>
    </r>
    <r>
      <rPr>
        <sz val="10"/>
        <rFont val="Calibri"/>
        <family val="2"/>
      </rPr>
      <t xml:space="preserve"> = [e</t>
    </r>
    <r>
      <rPr>
        <vertAlign val="superscript"/>
        <sz val="10"/>
        <rFont val="Calibri"/>
        <family val="2"/>
      </rPr>
      <t>b0</t>
    </r>
    <r>
      <rPr>
        <sz val="10"/>
        <rFont val="Calibri"/>
        <family val="2"/>
      </rPr>
      <t>·(b</t>
    </r>
    <r>
      <rPr>
        <vertAlign val="subscript"/>
        <sz val="10"/>
        <rFont val="Calibri"/>
        <family val="2"/>
      </rPr>
      <t>1</t>
    </r>
    <r>
      <rPr>
        <sz val="10"/>
        <rFont val="Calibri"/>
        <family val="2"/>
      </rPr>
      <t>·t</t>
    </r>
    <r>
      <rPr>
        <vertAlign val="subscript"/>
        <sz val="10"/>
        <rFont val="Calibri"/>
        <family val="2"/>
      </rPr>
      <t>u</t>
    </r>
    <r>
      <rPr>
        <sz val="10"/>
        <rFont val="Calibri"/>
        <family val="2"/>
      </rPr>
      <t>·e</t>
    </r>
    <r>
      <rPr>
        <vertAlign val="superscript"/>
        <sz val="10"/>
        <rFont val="Calibri"/>
        <family val="2"/>
      </rPr>
      <t>b1·tu</t>
    </r>
    <r>
      <rPr>
        <sz val="10"/>
        <rFont val="Calibri"/>
        <family val="2"/>
      </rPr>
      <t>-e</t>
    </r>
    <r>
      <rPr>
        <vertAlign val="superscript"/>
        <sz val="10"/>
        <rFont val="Calibri"/>
        <family val="2"/>
      </rPr>
      <t>b1·tu</t>
    </r>
    <r>
      <rPr>
        <sz val="10"/>
        <rFont val="Calibri"/>
        <family val="2"/>
      </rPr>
      <t>+1)/(1-e</t>
    </r>
    <r>
      <rPr>
        <vertAlign val="superscript"/>
        <sz val="10"/>
        <rFont val="Calibri"/>
        <family val="2"/>
      </rPr>
      <t>b1·tu</t>
    </r>
    <r>
      <rPr>
        <sz val="10"/>
        <rFont val="Calibri"/>
        <family val="2"/>
      </rPr>
      <t>)</t>
    </r>
    <r>
      <rPr>
        <vertAlign val="superscript"/>
        <sz val="10"/>
        <rFont val="Calibri"/>
        <family val="2"/>
      </rPr>
      <t>2</t>
    </r>
    <r>
      <rPr>
        <sz val="10"/>
        <rFont val="Calibri"/>
        <family val="2"/>
      </rPr>
      <t>]·{E</t>
    </r>
    <r>
      <rPr>
        <vertAlign val="subscript"/>
        <sz val="10"/>
        <rFont val="Calibri"/>
        <family val="2"/>
      </rPr>
      <t>D,R</t>
    </r>
    <r>
      <rPr>
        <sz val="10"/>
        <rFont val="Calibri"/>
        <family val="2"/>
      </rPr>
      <t>/[C</t>
    </r>
    <r>
      <rPr>
        <vertAlign val="subscript"/>
        <sz val="10"/>
        <rFont val="Calibri"/>
        <family val="2"/>
      </rPr>
      <t>D</t>
    </r>
    <r>
      <rPr>
        <sz val="10"/>
        <rFont val="Calibri"/>
        <family val="2"/>
      </rPr>
      <t>·(1-E</t>
    </r>
    <r>
      <rPr>
        <vertAlign val="subscript"/>
        <sz val="10"/>
        <rFont val="Calibri"/>
        <family val="2"/>
      </rPr>
      <t>D,R</t>
    </r>
    <r>
      <rPr>
        <sz val="10"/>
        <rFont val="Calibri"/>
        <family val="2"/>
      </rPr>
      <t>)]}·K</t>
    </r>
    <r>
      <rPr>
        <vertAlign val="subscript"/>
        <sz val="10"/>
        <rFont val="Calibri"/>
        <family val="2"/>
      </rPr>
      <t>GB</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]·(d</t>
    </r>
    <r>
      <rPr>
        <vertAlign val="subscript"/>
        <sz val="10"/>
        <rFont val="Calibri"/>
        <family val="2"/>
      </rPr>
      <t>B</t>
    </r>
    <r>
      <rPr>
        <sz val="10"/>
        <rFont val="Calibri"/>
        <family val="2"/>
      </rPr>
      <t>/d</t>
    </r>
    <r>
      <rPr>
        <vertAlign val="subscript"/>
        <sz val="10"/>
        <rFont val="Calibri"/>
        <family val="2"/>
      </rPr>
      <t>G</t>
    </r>
    <r>
      <rPr>
        <sz val="10"/>
        <rFont val="Calibri"/>
        <family val="2"/>
      </rPr>
      <t>)</t>
    </r>
    <phoneticPr fontId="23" type="noConversion"/>
  </si>
  <si>
    <r>
      <t>ək</t>
    </r>
    <r>
      <rPr>
        <vertAlign val="subscript"/>
        <sz val="10"/>
        <rFont val="Calibri"/>
        <family val="2"/>
      </rPr>
      <t>BM</t>
    </r>
    <r>
      <rPr>
        <sz val="10"/>
        <rFont val="Calibri"/>
        <family val="2"/>
      </rPr>
      <t>/əC</t>
    </r>
    <r>
      <rPr>
        <vertAlign val="subscript"/>
        <sz val="10"/>
        <rFont val="Calibri"/>
        <family val="2"/>
      </rPr>
      <t>D</t>
    </r>
    <r>
      <rPr>
        <sz val="10"/>
        <rFont val="Calibri"/>
        <family val="2"/>
      </rPr>
      <t xml:space="preserve"> = {e</t>
    </r>
    <r>
      <rPr>
        <vertAlign val="superscript"/>
        <sz val="10"/>
        <rFont val="Calibri"/>
        <family val="2"/>
      </rPr>
      <t>b0</t>
    </r>
    <r>
      <rPr>
        <sz val="10"/>
        <rFont val="Calibri"/>
        <family val="2"/>
      </rPr>
      <t>·b</t>
    </r>
    <r>
      <rPr>
        <vertAlign val="subscript"/>
        <sz val="10"/>
        <rFont val="Calibri"/>
        <family val="2"/>
      </rPr>
      <t>1</t>
    </r>
    <r>
      <rPr>
        <sz val="10"/>
        <rFont val="Calibri"/>
        <family val="2"/>
      </rPr>
      <t>/[C</t>
    </r>
    <r>
      <rPr>
        <vertAlign val="subscript"/>
        <sz val="10"/>
        <rFont val="Calibri"/>
        <family val="2"/>
      </rPr>
      <t>D</t>
    </r>
    <r>
      <rPr>
        <vertAlign val="superscript"/>
        <sz val="10"/>
        <rFont val="Calibri"/>
        <family val="2"/>
      </rPr>
      <t>2</t>
    </r>
    <r>
      <rPr>
        <sz val="10"/>
        <rFont val="Calibri"/>
        <family val="2"/>
      </rPr>
      <t>·(1-e</t>
    </r>
    <r>
      <rPr>
        <vertAlign val="superscript"/>
        <sz val="10"/>
        <rFont val="Calibri"/>
        <family val="2"/>
      </rPr>
      <t>b1·tu</t>
    </r>
    <r>
      <rPr>
        <sz val="10"/>
        <rFont val="Calibri"/>
        <family val="2"/>
      </rPr>
      <t>)]}·[E</t>
    </r>
    <r>
      <rPr>
        <vertAlign val="subscript"/>
        <sz val="10"/>
        <rFont val="Calibri"/>
        <family val="2"/>
      </rPr>
      <t>D,R</t>
    </r>
    <r>
      <rPr>
        <sz val="10"/>
        <rFont val="Calibri"/>
        <family val="2"/>
      </rPr>
      <t>/(1-E</t>
    </r>
    <r>
      <rPr>
        <vertAlign val="subscript"/>
        <sz val="10"/>
        <rFont val="Calibri"/>
        <family val="2"/>
      </rPr>
      <t>D,R</t>
    </r>
    <r>
      <rPr>
        <sz val="10"/>
        <rFont val="Calibri"/>
        <family val="2"/>
      </rPr>
      <t>)]·K</t>
    </r>
    <r>
      <rPr>
        <vertAlign val="subscript"/>
        <sz val="10"/>
        <rFont val="Calibri"/>
        <family val="2"/>
      </rPr>
      <t>GB</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]·(d</t>
    </r>
    <r>
      <rPr>
        <vertAlign val="subscript"/>
        <sz val="10"/>
        <rFont val="Calibri"/>
        <family val="2"/>
      </rPr>
      <t>B</t>
    </r>
    <r>
      <rPr>
        <sz val="10"/>
        <rFont val="Calibri"/>
        <family val="2"/>
      </rPr>
      <t>/d</t>
    </r>
    <r>
      <rPr>
        <vertAlign val="subscript"/>
        <sz val="10"/>
        <rFont val="Calibri"/>
        <family val="2"/>
      </rPr>
      <t>G</t>
    </r>
    <r>
      <rPr>
        <sz val="10"/>
        <rFont val="Calibri"/>
        <family val="2"/>
      </rPr>
      <t>)</t>
    </r>
    <phoneticPr fontId="23" type="noConversion"/>
  </si>
  <si>
    <r>
      <t>ək</t>
    </r>
    <r>
      <rPr>
        <vertAlign val="subscript"/>
        <sz val="10"/>
        <rFont val="Calibri"/>
        <family val="2"/>
      </rPr>
      <t>BM</t>
    </r>
    <r>
      <rPr>
        <sz val="10"/>
        <rFont val="Calibri"/>
        <family val="2"/>
      </rPr>
      <t>/əF</t>
    </r>
    <r>
      <rPr>
        <vertAlign val="subscript"/>
        <sz val="10"/>
        <rFont val="Calibri"/>
        <family val="2"/>
      </rPr>
      <t>D</t>
    </r>
    <r>
      <rPr>
        <sz val="10"/>
        <rFont val="Calibri"/>
        <family val="2"/>
      </rPr>
      <t xml:space="preserve"> = -[E</t>
    </r>
    <r>
      <rPr>
        <vertAlign val="subscript"/>
        <sz val="10"/>
        <rFont val="Calibri"/>
        <family val="2"/>
      </rPr>
      <t>D,R</t>
    </r>
    <r>
      <rPr>
        <sz val="10"/>
        <rFont val="Calibri"/>
        <family val="2"/>
      </rPr>
      <t>/(1-E</t>
    </r>
    <r>
      <rPr>
        <vertAlign val="subscript"/>
        <sz val="10"/>
        <rFont val="Calibri"/>
        <family val="2"/>
      </rPr>
      <t>D,R</t>
    </r>
    <r>
      <rPr>
        <sz val="10"/>
        <rFont val="Calibri"/>
        <family val="2"/>
      </rPr>
      <t>)]·K</t>
    </r>
    <r>
      <rPr>
        <vertAlign val="subscript"/>
        <sz val="10"/>
        <rFont val="Calibri"/>
        <family val="2"/>
      </rPr>
      <t>GB</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]·(d</t>
    </r>
    <r>
      <rPr>
        <vertAlign val="subscript"/>
        <sz val="10"/>
        <rFont val="Calibri"/>
        <family val="2"/>
      </rPr>
      <t>B</t>
    </r>
    <r>
      <rPr>
        <sz val="10"/>
        <rFont val="Calibri"/>
        <family val="2"/>
      </rPr>
      <t>/d</t>
    </r>
    <r>
      <rPr>
        <vertAlign val="subscript"/>
        <sz val="10"/>
        <rFont val="Calibri"/>
        <family val="2"/>
      </rPr>
      <t>G</t>
    </r>
    <r>
      <rPr>
        <sz val="10"/>
        <rFont val="Calibri"/>
        <family val="2"/>
      </rPr>
      <t>)</t>
    </r>
    <phoneticPr fontId="23" type="noConversion"/>
  </si>
  <si>
    <r>
      <t>ək</t>
    </r>
    <r>
      <rPr>
        <vertAlign val="subscript"/>
        <sz val="10"/>
        <rFont val="Calibri"/>
        <family val="2"/>
      </rPr>
      <t>BM</t>
    </r>
    <r>
      <rPr>
        <sz val="10"/>
        <rFont val="Calibri"/>
        <family val="2"/>
      </rPr>
      <t>/əE</t>
    </r>
    <r>
      <rPr>
        <vertAlign val="subscript"/>
        <sz val="10"/>
        <rFont val="Calibri"/>
        <family val="2"/>
      </rPr>
      <t>D,R</t>
    </r>
    <r>
      <rPr>
        <sz val="10"/>
        <rFont val="Calibri"/>
        <family val="2"/>
      </rPr>
      <t xml:space="preserve"> = -[1/(1-E</t>
    </r>
    <r>
      <rPr>
        <vertAlign val="subscript"/>
        <sz val="10"/>
        <rFont val="Calibri"/>
        <family val="2"/>
      </rPr>
      <t>D,R</t>
    </r>
    <r>
      <rPr>
        <sz val="10"/>
        <rFont val="Calibri"/>
        <family val="2"/>
      </rPr>
      <t>)</t>
    </r>
    <r>
      <rPr>
        <vertAlign val="superscript"/>
        <sz val="10"/>
        <rFont val="Calibri"/>
        <family val="2"/>
      </rPr>
      <t>2</t>
    </r>
    <r>
      <rPr>
        <sz val="10"/>
        <rFont val="Calibri"/>
        <family val="2"/>
      </rPr>
      <t>]·{[C</t>
    </r>
    <r>
      <rPr>
        <vertAlign val="subscript"/>
        <sz val="10"/>
        <rFont val="Calibri"/>
        <family val="2"/>
      </rPr>
      <t>D</t>
    </r>
    <r>
      <rPr>
        <sz val="10"/>
        <rFont val="Calibri"/>
        <family val="2"/>
      </rPr>
      <t>·F</t>
    </r>
    <r>
      <rPr>
        <vertAlign val="subscript"/>
        <sz val="10"/>
        <rFont val="Calibri"/>
        <family val="2"/>
      </rPr>
      <t>D</t>
    </r>
    <r>
      <rPr>
        <sz val="10"/>
        <rFont val="Calibri"/>
        <family val="2"/>
      </rPr>
      <t>·(1-e</t>
    </r>
    <r>
      <rPr>
        <vertAlign val="superscript"/>
        <sz val="10"/>
        <rFont val="Calibri"/>
        <family val="2"/>
      </rPr>
      <t>b1·tu</t>
    </r>
    <r>
      <rPr>
        <sz val="10"/>
        <rFont val="Calibri"/>
        <family val="2"/>
      </rPr>
      <t>)+e</t>
    </r>
    <r>
      <rPr>
        <vertAlign val="superscript"/>
        <sz val="10"/>
        <rFont val="Calibri"/>
        <family val="2"/>
      </rPr>
      <t>b0</t>
    </r>
    <r>
      <rPr>
        <sz val="10"/>
        <rFont val="Calibri"/>
        <family val="2"/>
      </rPr>
      <t>·b</t>
    </r>
    <r>
      <rPr>
        <vertAlign val="subscript"/>
        <sz val="10"/>
        <rFont val="Calibri"/>
        <family val="2"/>
      </rPr>
      <t>1</t>
    </r>
    <r>
      <rPr>
        <sz val="10"/>
        <rFont val="Calibri"/>
        <family val="2"/>
      </rPr>
      <t>]/[C</t>
    </r>
    <r>
      <rPr>
        <vertAlign val="subscript"/>
        <sz val="10"/>
        <rFont val="Calibri"/>
        <family val="2"/>
      </rPr>
      <t>D</t>
    </r>
    <r>
      <rPr>
        <sz val="10"/>
        <rFont val="Calibri"/>
        <family val="2"/>
      </rPr>
      <t>·(1-e</t>
    </r>
    <r>
      <rPr>
        <vertAlign val="superscript"/>
        <sz val="10"/>
        <rFont val="Calibri"/>
        <family val="2"/>
      </rPr>
      <t>b1·tu</t>
    </r>
    <r>
      <rPr>
        <sz val="10"/>
        <rFont val="Calibri"/>
        <family val="2"/>
      </rPr>
      <t>)]}·K</t>
    </r>
    <r>
      <rPr>
        <vertAlign val="subscript"/>
        <sz val="10"/>
        <rFont val="Calibri"/>
        <family val="2"/>
      </rPr>
      <t>GB</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]·(d</t>
    </r>
    <r>
      <rPr>
        <vertAlign val="subscript"/>
        <sz val="10"/>
        <rFont val="Calibri"/>
        <family val="2"/>
      </rPr>
      <t>B</t>
    </r>
    <r>
      <rPr>
        <sz val="10"/>
        <rFont val="Calibri"/>
        <family val="2"/>
      </rPr>
      <t>/d</t>
    </r>
    <r>
      <rPr>
        <vertAlign val="subscript"/>
        <sz val="10"/>
        <rFont val="Calibri"/>
        <family val="2"/>
      </rPr>
      <t>G</t>
    </r>
    <r>
      <rPr>
        <sz val="10"/>
        <rFont val="Calibri"/>
        <family val="2"/>
      </rPr>
      <t>)</t>
    </r>
    <phoneticPr fontId="23" type="noConversion"/>
  </si>
  <si>
    <r>
      <t>ək</t>
    </r>
    <r>
      <rPr>
        <vertAlign val="subscript"/>
        <sz val="10"/>
        <rFont val="Calibri"/>
        <family val="2"/>
      </rPr>
      <t>BM</t>
    </r>
    <r>
      <rPr>
        <sz val="10"/>
        <rFont val="Calibri"/>
        <family val="2"/>
      </rPr>
      <t>/əb</t>
    </r>
    <r>
      <rPr>
        <vertAlign val="subscript"/>
        <sz val="10"/>
        <rFont val="Calibri"/>
        <family val="2"/>
      </rPr>
      <t>0</t>
    </r>
    <r>
      <rPr>
        <sz val="10"/>
        <rFont val="Calibri"/>
        <family val="2"/>
      </rPr>
      <t xml:space="preserve"> = -{e</t>
    </r>
    <r>
      <rPr>
        <vertAlign val="superscript"/>
        <sz val="10"/>
        <rFont val="Calibri"/>
        <family val="2"/>
      </rPr>
      <t>b0</t>
    </r>
    <r>
      <rPr>
        <sz val="10"/>
        <rFont val="Calibri"/>
        <family val="2"/>
      </rPr>
      <t>·b</t>
    </r>
    <r>
      <rPr>
        <vertAlign val="subscript"/>
        <sz val="10"/>
        <rFont val="Calibri"/>
        <family val="2"/>
      </rPr>
      <t>1</t>
    </r>
    <r>
      <rPr>
        <sz val="10"/>
        <rFont val="Calibri"/>
        <family val="2"/>
      </rPr>
      <t>/[C</t>
    </r>
    <r>
      <rPr>
        <vertAlign val="subscript"/>
        <sz val="10"/>
        <rFont val="Calibri"/>
        <family val="2"/>
      </rPr>
      <t>D</t>
    </r>
    <r>
      <rPr>
        <sz val="10"/>
        <rFont val="Calibri"/>
        <family val="2"/>
      </rPr>
      <t>·(1-e</t>
    </r>
    <r>
      <rPr>
        <vertAlign val="superscript"/>
        <sz val="10"/>
        <rFont val="Calibri"/>
        <family val="2"/>
      </rPr>
      <t>b1·tu</t>
    </r>
    <r>
      <rPr>
        <sz val="10"/>
        <rFont val="Calibri"/>
        <family val="2"/>
      </rPr>
      <t>)]}·[E</t>
    </r>
    <r>
      <rPr>
        <vertAlign val="subscript"/>
        <sz val="10"/>
        <rFont val="Calibri"/>
        <family val="2"/>
      </rPr>
      <t>D,R</t>
    </r>
    <r>
      <rPr>
        <sz val="10"/>
        <rFont val="Calibri"/>
        <family val="2"/>
      </rPr>
      <t>/(1-E</t>
    </r>
    <r>
      <rPr>
        <vertAlign val="subscript"/>
        <sz val="10"/>
        <rFont val="Calibri"/>
        <family val="2"/>
      </rPr>
      <t>D,R</t>
    </r>
    <r>
      <rPr>
        <sz val="10"/>
        <rFont val="Calibri"/>
        <family val="2"/>
      </rPr>
      <t>)]·K</t>
    </r>
    <r>
      <rPr>
        <vertAlign val="subscript"/>
        <sz val="10"/>
        <rFont val="Calibri"/>
        <family val="2"/>
      </rPr>
      <t>GB</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]·(d</t>
    </r>
    <r>
      <rPr>
        <vertAlign val="subscript"/>
        <sz val="10"/>
        <rFont val="Calibri"/>
        <family val="2"/>
      </rPr>
      <t>B</t>
    </r>
    <r>
      <rPr>
        <sz val="10"/>
        <rFont val="Calibri"/>
        <family val="2"/>
      </rPr>
      <t>/d</t>
    </r>
    <r>
      <rPr>
        <vertAlign val="subscript"/>
        <sz val="10"/>
        <rFont val="Calibri"/>
        <family val="2"/>
      </rPr>
      <t>G</t>
    </r>
    <r>
      <rPr>
        <sz val="10"/>
        <rFont val="Calibri"/>
        <family val="2"/>
      </rPr>
      <t>)</t>
    </r>
    <phoneticPr fontId="23" type="noConversion"/>
  </si>
  <si>
    <r>
      <t>ək</t>
    </r>
    <r>
      <rPr>
        <vertAlign val="subscript"/>
        <sz val="10"/>
        <rFont val="Calibri"/>
        <family val="2"/>
      </rPr>
      <t>BM</t>
    </r>
    <r>
      <rPr>
        <sz val="10"/>
        <rFont val="Calibri"/>
        <family val="2"/>
      </rPr>
      <t>/əb</t>
    </r>
    <r>
      <rPr>
        <vertAlign val="subscript"/>
        <sz val="10"/>
        <rFont val="Calibri"/>
        <family val="2"/>
      </rPr>
      <t>1</t>
    </r>
    <r>
      <rPr>
        <sz val="10"/>
        <rFont val="Calibri"/>
        <family val="2"/>
      </rPr>
      <t xml:space="preserve"> = -[e</t>
    </r>
    <r>
      <rPr>
        <vertAlign val="superscript"/>
        <sz val="10"/>
        <rFont val="Calibri"/>
        <family val="2"/>
      </rPr>
      <t>b0</t>
    </r>
    <r>
      <rPr>
        <sz val="10"/>
        <rFont val="Calibri"/>
        <family val="2"/>
      </rPr>
      <t>·(b</t>
    </r>
    <r>
      <rPr>
        <vertAlign val="subscript"/>
        <sz val="10"/>
        <rFont val="Calibri"/>
        <family val="2"/>
      </rPr>
      <t>1</t>
    </r>
    <r>
      <rPr>
        <sz val="10"/>
        <rFont val="Calibri"/>
        <family val="2"/>
      </rPr>
      <t>·t</t>
    </r>
    <r>
      <rPr>
        <vertAlign val="subscript"/>
        <sz val="10"/>
        <rFont val="Calibri"/>
        <family val="2"/>
      </rPr>
      <t>u</t>
    </r>
    <r>
      <rPr>
        <sz val="10"/>
        <rFont val="Calibri"/>
        <family val="2"/>
      </rPr>
      <t>·e</t>
    </r>
    <r>
      <rPr>
        <vertAlign val="superscript"/>
        <sz val="10"/>
        <rFont val="Calibri"/>
        <family val="2"/>
      </rPr>
      <t>b1·tu</t>
    </r>
    <r>
      <rPr>
        <sz val="10"/>
        <rFont val="Calibri"/>
        <family val="2"/>
      </rPr>
      <t>-e</t>
    </r>
    <r>
      <rPr>
        <vertAlign val="superscript"/>
        <sz val="10"/>
        <rFont val="Calibri"/>
        <family val="2"/>
      </rPr>
      <t>b1·tu</t>
    </r>
    <r>
      <rPr>
        <sz val="10"/>
        <rFont val="Calibri"/>
        <family val="2"/>
      </rPr>
      <t>+1)/(1-e</t>
    </r>
    <r>
      <rPr>
        <vertAlign val="superscript"/>
        <sz val="10"/>
        <rFont val="Calibri"/>
        <family val="2"/>
      </rPr>
      <t>b1·tu</t>
    </r>
    <r>
      <rPr>
        <sz val="10"/>
        <rFont val="Calibri"/>
        <family val="2"/>
      </rPr>
      <t>)</t>
    </r>
    <r>
      <rPr>
        <vertAlign val="superscript"/>
        <sz val="10"/>
        <rFont val="Calibri"/>
        <family val="2"/>
      </rPr>
      <t>2</t>
    </r>
    <r>
      <rPr>
        <sz val="10"/>
        <rFont val="Calibri"/>
        <family val="2"/>
      </rPr>
      <t>]·{E</t>
    </r>
    <r>
      <rPr>
        <vertAlign val="subscript"/>
        <sz val="10"/>
        <rFont val="Calibri"/>
        <family val="2"/>
      </rPr>
      <t>D,R</t>
    </r>
    <r>
      <rPr>
        <sz val="10"/>
        <rFont val="Calibri"/>
        <family val="2"/>
      </rPr>
      <t>/[C</t>
    </r>
    <r>
      <rPr>
        <vertAlign val="subscript"/>
        <sz val="10"/>
        <rFont val="Calibri"/>
        <family val="2"/>
      </rPr>
      <t>D</t>
    </r>
    <r>
      <rPr>
        <sz val="10"/>
        <rFont val="Calibri"/>
        <family val="2"/>
      </rPr>
      <t>·(1-E</t>
    </r>
    <r>
      <rPr>
        <vertAlign val="subscript"/>
        <sz val="10"/>
        <rFont val="Calibri"/>
        <family val="2"/>
      </rPr>
      <t>D,R</t>
    </r>
    <r>
      <rPr>
        <sz val="10"/>
        <rFont val="Calibri"/>
        <family val="2"/>
      </rPr>
      <t>)]}·K</t>
    </r>
    <r>
      <rPr>
        <vertAlign val="subscript"/>
        <sz val="10"/>
        <rFont val="Calibri"/>
        <family val="2"/>
      </rPr>
      <t>GB</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]·(d</t>
    </r>
    <r>
      <rPr>
        <vertAlign val="subscript"/>
        <sz val="10"/>
        <rFont val="Calibri"/>
        <family val="2"/>
      </rPr>
      <t>B</t>
    </r>
    <r>
      <rPr>
        <sz val="10"/>
        <rFont val="Calibri"/>
        <family val="2"/>
      </rPr>
      <t>/d</t>
    </r>
    <r>
      <rPr>
        <vertAlign val="subscript"/>
        <sz val="10"/>
        <rFont val="Calibri"/>
        <family val="2"/>
      </rPr>
      <t>G</t>
    </r>
    <r>
      <rPr>
        <sz val="10"/>
        <rFont val="Calibri"/>
        <family val="2"/>
      </rPr>
      <t>)-1</t>
    </r>
    <phoneticPr fontId="23" type="noConversion"/>
  </si>
  <si>
    <r>
      <t>SE(E</t>
    </r>
    <r>
      <rPr>
        <vertAlign val="subscript"/>
        <sz val="10"/>
        <rFont val="Calibri"/>
        <family val="2"/>
      </rPr>
      <t>D</t>
    </r>
    <r>
      <rPr>
        <sz val="10"/>
        <rFont val="Calibri"/>
        <family val="2"/>
      </rPr>
      <t>) = {[(əE</t>
    </r>
    <r>
      <rPr>
        <vertAlign val="subscript"/>
        <sz val="10"/>
        <rFont val="Calibri"/>
        <family val="2"/>
      </rPr>
      <t>D</t>
    </r>
    <r>
      <rPr>
        <sz val="10"/>
        <rFont val="Calibri"/>
        <family val="2"/>
      </rPr>
      <t>/əC</t>
    </r>
    <r>
      <rPr>
        <vertAlign val="subscript"/>
        <sz val="10"/>
        <rFont val="Calibri"/>
        <family val="2"/>
      </rPr>
      <t>D</t>
    </r>
    <r>
      <rPr>
        <sz val="10"/>
        <rFont val="Calibri"/>
        <family val="2"/>
      </rPr>
      <t>)·SE(C</t>
    </r>
    <r>
      <rPr>
        <vertAlign val="subscript"/>
        <sz val="10"/>
        <rFont val="Calibri"/>
        <family val="2"/>
      </rPr>
      <t>D</t>
    </r>
    <r>
      <rPr>
        <sz val="10"/>
        <rFont val="Calibri"/>
        <family val="2"/>
      </rPr>
      <t>)]</t>
    </r>
    <r>
      <rPr>
        <vertAlign val="superscript"/>
        <sz val="10"/>
        <rFont val="Calibri"/>
        <family val="2"/>
      </rPr>
      <t>2</t>
    </r>
    <r>
      <rPr>
        <sz val="10"/>
        <rFont val="Calibri"/>
        <family val="2"/>
      </rPr>
      <t>+[(əE</t>
    </r>
    <r>
      <rPr>
        <vertAlign val="subscript"/>
        <sz val="10"/>
        <rFont val="Calibri"/>
        <family val="2"/>
      </rPr>
      <t>D</t>
    </r>
    <r>
      <rPr>
        <sz val="10"/>
        <rFont val="Calibri"/>
        <family val="2"/>
      </rPr>
      <t>/əF</t>
    </r>
    <r>
      <rPr>
        <vertAlign val="subscript"/>
        <sz val="10"/>
        <rFont val="Calibri"/>
        <family val="2"/>
      </rPr>
      <t>D</t>
    </r>
    <r>
      <rPr>
        <sz val="10"/>
        <rFont val="Calibri"/>
        <family val="2"/>
      </rPr>
      <t>)·SE(F</t>
    </r>
    <r>
      <rPr>
        <vertAlign val="subscript"/>
        <sz val="10"/>
        <rFont val="Calibri"/>
        <family val="2"/>
      </rPr>
      <t>D</t>
    </r>
    <r>
      <rPr>
        <sz val="10"/>
        <rFont val="Calibri"/>
        <family val="2"/>
      </rPr>
      <t>)]</t>
    </r>
    <r>
      <rPr>
        <vertAlign val="superscript"/>
        <sz val="10"/>
        <rFont val="Calibri"/>
        <family val="2"/>
      </rPr>
      <t>2</t>
    </r>
    <r>
      <rPr>
        <sz val="10"/>
        <rFont val="Calibri"/>
        <family val="2"/>
      </rPr>
      <t>+[(əE</t>
    </r>
    <r>
      <rPr>
        <vertAlign val="subscript"/>
        <sz val="10"/>
        <rFont val="Calibri"/>
        <family val="2"/>
      </rPr>
      <t>D</t>
    </r>
    <r>
      <rPr>
        <sz val="10"/>
        <rFont val="Calibri"/>
        <family val="2"/>
      </rPr>
      <t>/əb</t>
    </r>
    <r>
      <rPr>
        <vertAlign val="subscript"/>
        <sz val="10"/>
        <rFont val="Calibri"/>
        <family val="2"/>
      </rPr>
      <t>0</t>
    </r>
    <r>
      <rPr>
        <sz val="10"/>
        <rFont val="Calibri"/>
        <family val="2"/>
      </rPr>
      <t>)·SE(b</t>
    </r>
    <r>
      <rPr>
        <vertAlign val="subscript"/>
        <sz val="10"/>
        <rFont val="Calibri"/>
        <family val="2"/>
      </rPr>
      <t>0</t>
    </r>
    <r>
      <rPr>
        <sz val="10"/>
        <rFont val="Calibri"/>
        <family val="2"/>
      </rPr>
      <t>)]</t>
    </r>
    <r>
      <rPr>
        <vertAlign val="superscript"/>
        <sz val="10"/>
        <rFont val="Calibri"/>
        <family val="2"/>
      </rPr>
      <t>2</t>
    </r>
    <r>
      <rPr>
        <sz val="10"/>
        <rFont val="Calibri"/>
        <family val="2"/>
      </rPr>
      <t>+[(əE</t>
    </r>
    <r>
      <rPr>
        <vertAlign val="subscript"/>
        <sz val="10"/>
        <rFont val="Calibri"/>
        <family val="2"/>
      </rPr>
      <t>D</t>
    </r>
    <r>
      <rPr>
        <sz val="10"/>
        <rFont val="Calibri"/>
        <family val="2"/>
      </rPr>
      <t>/əb</t>
    </r>
    <r>
      <rPr>
        <vertAlign val="subscript"/>
        <sz val="10"/>
        <rFont val="Calibri"/>
        <family val="2"/>
      </rPr>
      <t>1</t>
    </r>
    <r>
      <rPr>
        <sz val="10"/>
        <rFont val="Calibri"/>
        <family val="2"/>
      </rPr>
      <t>)·SE(b</t>
    </r>
    <r>
      <rPr>
        <vertAlign val="subscript"/>
        <sz val="10"/>
        <rFont val="Calibri"/>
        <family val="2"/>
      </rPr>
      <t>1</t>
    </r>
    <r>
      <rPr>
        <sz val="10"/>
        <rFont val="Calibri"/>
        <family val="2"/>
      </rPr>
      <t>)]</t>
    </r>
    <r>
      <rPr>
        <vertAlign val="superscript"/>
        <sz val="10"/>
        <rFont val="Calibri"/>
        <family val="2"/>
      </rPr>
      <t>2</t>
    </r>
    <r>
      <rPr>
        <sz val="10"/>
        <rFont val="Calibri"/>
        <family val="2"/>
      </rPr>
      <t>+2·(əE</t>
    </r>
    <r>
      <rPr>
        <vertAlign val="subscript"/>
        <sz val="10"/>
        <rFont val="Calibri"/>
        <family val="2"/>
      </rPr>
      <t>D</t>
    </r>
    <r>
      <rPr>
        <sz val="10"/>
        <rFont val="Calibri"/>
        <family val="2"/>
      </rPr>
      <t>/əb</t>
    </r>
    <r>
      <rPr>
        <vertAlign val="subscript"/>
        <sz val="10"/>
        <rFont val="Calibri"/>
        <family val="2"/>
      </rPr>
      <t>0</t>
    </r>
    <r>
      <rPr>
        <sz val="10"/>
        <rFont val="Calibri"/>
        <family val="2"/>
      </rPr>
      <t>)·(əE</t>
    </r>
    <r>
      <rPr>
        <vertAlign val="subscript"/>
        <sz val="10"/>
        <rFont val="Calibri"/>
        <family val="2"/>
      </rPr>
      <t>D</t>
    </r>
    <r>
      <rPr>
        <sz val="10"/>
        <rFont val="Calibri"/>
        <family val="2"/>
      </rPr>
      <t>/əb</t>
    </r>
    <r>
      <rPr>
        <vertAlign val="subscript"/>
        <sz val="10"/>
        <rFont val="Calibri"/>
        <family val="2"/>
      </rPr>
      <t>1</t>
    </r>
    <r>
      <rPr>
        <sz val="10"/>
        <rFont val="Calibri"/>
        <family val="2"/>
      </rPr>
      <t>)·Cov(b</t>
    </r>
    <r>
      <rPr>
        <vertAlign val="subscript"/>
        <sz val="10"/>
        <rFont val="Calibri"/>
        <family val="2"/>
      </rPr>
      <t>0</t>
    </r>
    <r>
      <rPr>
        <sz val="10"/>
        <rFont val="Calibri"/>
        <family val="2"/>
      </rPr>
      <t>,b</t>
    </r>
    <r>
      <rPr>
        <vertAlign val="subscript"/>
        <sz val="10"/>
        <rFont val="Calibri"/>
        <family val="2"/>
      </rPr>
      <t>1</t>
    </r>
    <r>
      <rPr>
        <sz val="10"/>
        <rFont val="Calibri"/>
        <family val="2"/>
      </rPr>
      <t>)}</t>
    </r>
    <r>
      <rPr>
        <vertAlign val="superscript"/>
        <sz val="10"/>
        <rFont val="Calibri"/>
        <family val="2"/>
      </rPr>
      <t>0.5</t>
    </r>
    <phoneticPr fontId="23" type="noConversion"/>
  </si>
  <si>
    <r>
      <t>If reference chemicals used="No", SE(E</t>
    </r>
    <r>
      <rPr>
        <vertAlign val="subscript"/>
        <sz val="10"/>
        <rFont val="Calibri"/>
        <family val="2"/>
      </rPr>
      <t>D,R</t>
    </r>
    <r>
      <rPr>
        <sz val="10"/>
        <rFont val="Calibri"/>
        <family val="2"/>
      </rPr>
      <t>) = {[(əE</t>
    </r>
    <r>
      <rPr>
        <vertAlign val="subscript"/>
        <sz val="10"/>
        <rFont val="Calibri"/>
        <family val="2"/>
      </rPr>
      <t>D,R</t>
    </r>
    <r>
      <rPr>
        <sz val="10"/>
        <rFont val="Calibri"/>
        <family val="2"/>
      </rPr>
      <t>/əm)·SE(m)]</t>
    </r>
    <r>
      <rPr>
        <vertAlign val="superscript"/>
        <sz val="10"/>
        <rFont val="Calibri"/>
        <family val="2"/>
      </rPr>
      <t>2</t>
    </r>
    <r>
      <rPr>
        <sz val="10"/>
        <rFont val="Calibri"/>
        <family val="2"/>
      </rPr>
      <t>+[(əE</t>
    </r>
    <r>
      <rPr>
        <vertAlign val="subscript"/>
        <sz val="10"/>
        <rFont val="Calibri"/>
        <family val="2"/>
      </rPr>
      <t>D,R</t>
    </r>
    <r>
      <rPr>
        <sz val="10"/>
        <rFont val="Calibri"/>
        <family val="2"/>
      </rPr>
      <t>/ən)·SE(n)]</t>
    </r>
    <r>
      <rPr>
        <vertAlign val="superscript"/>
        <sz val="10"/>
        <rFont val="Calibri"/>
        <family val="2"/>
      </rPr>
      <t>2</t>
    </r>
    <r>
      <rPr>
        <sz val="10"/>
        <rFont val="Calibri"/>
        <family val="2"/>
      </rPr>
      <t>+2·(əE</t>
    </r>
    <r>
      <rPr>
        <vertAlign val="subscript"/>
        <sz val="10"/>
        <rFont val="Calibri"/>
        <family val="2"/>
      </rPr>
      <t>D,R</t>
    </r>
    <r>
      <rPr>
        <sz val="10"/>
        <rFont val="Calibri"/>
        <family val="2"/>
      </rPr>
      <t>/əm)·(əE</t>
    </r>
    <r>
      <rPr>
        <vertAlign val="subscript"/>
        <sz val="10"/>
        <rFont val="Calibri"/>
        <family val="2"/>
      </rPr>
      <t>D,R</t>
    </r>
    <r>
      <rPr>
        <sz val="10"/>
        <rFont val="Calibri"/>
        <family val="2"/>
      </rPr>
      <t>/ən)·Cov(m,n)}</t>
    </r>
    <r>
      <rPr>
        <vertAlign val="superscript"/>
        <sz val="10"/>
        <rFont val="Calibri"/>
        <family val="2"/>
      </rPr>
      <t>0.5</t>
    </r>
    <phoneticPr fontId="23" type="noConversion"/>
  </si>
  <si>
    <r>
      <t>If reference chemicals used="No", SE(k</t>
    </r>
    <r>
      <rPr>
        <vertAlign val="subscript"/>
        <sz val="10"/>
        <rFont val="Calibri"/>
        <family val="2"/>
      </rPr>
      <t>BT,R</t>
    </r>
    <r>
      <rPr>
        <sz val="10"/>
        <rFont val="Calibri"/>
        <family val="2"/>
      </rPr>
      <t>) =  {[(ək</t>
    </r>
    <r>
      <rPr>
        <vertAlign val="subscript"/>
        <sz val="10"/>
        <rFont val="Calibri"/>
        <family val="2"/>
      </rPr>
      <t>BT,R</t>
    </r>
    <r>
      <rPr>
        <sz val="10"/>
        <rFont val="Calibri"/>
        <family val="2"/>
      </rPr>
      <t>/əW</t>
    </r>
    <r>
      <rPr>
        <vertAlign val="subscript"/>
        <sz val="10"/>
        <rFont val="Calibri"/>
        <family val="2"/>
      </rPr>
      <t>B</t>
    </r>
    <r>
      <rPr>
        <sz val="10"/>
        <rFont val="Calibri"/>
        <family val="2"/>
      </rPr>
      <t>)·SE(W</t>
    </r>
    <r>
      <rPr>
        <vertAlign val="subscript"/>
        <sz val="10"/>
        <rFont val="Calibri"/>
        <family val="2"/>
      </rPr>
      <t>B</t>
    </r>
    <r>
      <rPr>
        <sz val="10"/>
        <rFont val="Calibri"/>
        <family val="2"/>
      </rPr>
      <t>)]</t>
    </r>
    <r>
      <rPr>
        <vertAlign val="superscript"/>
        <sz val="10"/>
        <rFont val="Calibri"/>
        <family val="2"/>
      </rPr>
      <t>2</t>
    </r>
    <r>
      <rPr>
        <sz val="10"/>
        <rFont val="Calibri"/>
        <family val="2"/>
      </rPr>
      <t>+[(ək</t>
    </r>
    <r>
      <rPr>
        <vertAlign val="subscript"/>
        <sz val="10"/>
        <rFont val="Calibri"/>
        <family val="2"/>
      </rPr>
      <t>BT,R</t>
    </r>
    <r>
      <rPr>
        <sz val="10"/>
        <rFont val="Calibri"/>
        <family val="2"/>
      </rPr>
      <t>/əC</t>
    </r>
    <r>
      <rPr>
        <vertAlign val="subscript"/>
        <sz val="10"/>
        <rFont val="Calibri"/>
        <family val="2"/>
      </rPr>
      <t>D</t>
    </r>
    <r>
      <rPr>
        <sz val="10"/>
        <rFont val="Calibri"/>
        <family val="2"/>
      </rPr>
      <t>)·SE(C</t>
    </r>
    <r>
      <rPr>
        <vertAlign val="subscript"/>
        <sz val="10"/>
        <rFont val="Calibri"/>
        <family val="2"/>
      </rPr>
      <t>D</t>
    </r>
    <r>
      <rPr>
        <sz val="10"/>
        <rFont val="Calibri"/>
        <family val="2"/>
      </rPr>
      <t>)]</t>
    </r>
    <r>
      <rPr>
        <vertAlign val="superscript"/>
        <sz val="10"/>
        <rFont val="Calibri"/>
        <family val="2"/>
      </rPr>
      <t>2</t>
    </r>
    <r>
      <rPr>
        <sz val="10"/>
        <rFont val="Calibri"/>
        <family val="2"/>
      </rPr>
      <t>+[(ək</t>
    </r>
    <r>
      <rPr>
        <vertAlign val="subscript"/>
        <sz val="10"/>
        <rFont val="Calibri"/>
        <family val="2"/>
      </rPr>
      <t>BT,R</t>
    </r>
    <r>
      <rPr>
        <sz val="10"/>
        <rFont val="Calibri"/>
        <family val="2"/>
      </rPr>
      <t>/əF</t>
    </r>
    <r>
      <rPr>
        <vertAlign val="subscript"/>
        <sz val="10"/>
        <rFont val="Calibri"/>
        <family val="2"/>
      </rPr>
      <t>D</t>
    </r>
    <r>
      <rPr>
        <sz val="10"/>
        <rFont val="Calibri"/>
        <family val="2"/>
      </rPr>
      <t>)·SE(F</t>
    </r>
    <r>
      <rPr>
        <vertAlign val="subscript"/>
        <sz val="10"/>
        <rFont val="Calibri"/>
        <family val="2"/>
      </rPr>
      <t>D</t>
    </r>
    <r>
      <rPr>
        <sz val="10"/>
        <rFont val="Calibri"/>
        <family val="2"/>
      </rPr>
      <t>)]</t>
    </r>
    <r>
      <rPr>
        <vertAlign val="superscript"/>
        <sz val="10"/>
        <rFont val="Calibri"/>
        <family val="2"/>
      </rPr>
      <t>2</t>
    </r>
    <r>
      <rPr>
        <sz val="10"/>
        <rFont val="Calibri"/>
        <family val="2"/>
      </rPr>
      <t>+[(ək</t>
    </r>
    <r>
      <rPr>
        <vertAlign val="subscript"/>
        <sz val="10"/>
        <rFont val="Calibri"/>
        <family val="2"/>
      </rPr>
      <t>BT,R</t>
    </r>
    <r>
      <rPr>
        <sz val="10"/>
        <rFont val="Calibri"/>
        <family val="2"/>
      </rPr>
      <t>/əC</t>
    </r>
    <r>
      <rPr>
        <vertAlign val="subscript"/>
        <sz val="10"/>
        <rFont val="Calibri"/>
        <family val="2"/>
      </rPr>
      <t>OX</t>
    </r>
    <r>
      <rPr>
        <sz val="10"/>
        <rFont val="Calibri"/>
        <family val="2"/>
      </rPr>
      <t>)·SE(C</t>
    </r>
    <r>
      <rPr>
        <vertAlign val="subscript"/>
        <sz val="10"/>
        <rFont val="Calibri"/>
        <family val="2"/>
      </rPr>
      <t>OX</t>
    </r>
    <r>
      <rPr>
        <sz val="10"/>
        <rFont val="Calibri"/>
        <family val="2"/>
      </rPr>
      <t>)]</t>
    </r>
    <r>
      <rPr>
        <vertAlign val="superscript"/>
        <sz val="10"/>
        <rFont val="Calibri"/>
        <family val="2"/>
      </rPr>
      <t>2</t>
    </r>
    <r>
      <rPr>
        <sz val="10"/>
        <rFont val="Calibri"/>
        <family val="2"/>
      </rPr>
      <t>+[(ək</t>
    </r>
    <r>
      <rPr>
        <vertAlign val="subscript"/>
        <sz val="10"/>
        <rFont val="Calibri"/>
        <family val="2"/>
      </rPr>
      <t>BT,R</t>
    </r>
    <r>
      <rPr>
        <sz val="10"/>
        <rFont val="Calibri"/>
        <family val="2"/>
      </rPr>
      <t>/ək</t>
    </r>
    <r>
      <rPr>
        <vertAlign val="subscript"/>
        <sz val="10"/>
        <rFont val="Calibri"/>
        <family val="2"/>
      </rPr>
      <t>GD</t>
    </r>
    <r>
      <rPr>
        <sz val="10"/>
        <rFont val="Calibri"/>
        <family val="2"/>
      </rPr>
      <t>)·SE(k</t>
    </r>
    <r>
      <rPr>
        <vertAlign val="subscript"/>
        <sz val="10"/>
        <rFont val="Calibri"/>
        <family val="2"/>
      </rPr>
      <t>GD</t>
    </r>
    <r>
      <rPr>
        <sz val="10"/>
        <rFont val="Calibri"/>
        <family val="2"/>
      </rPr>
      <t>)]</t>
    </r>
    <r>
      <rPr>
        <vertAlign val="superscript"/>
        <sz val="10"/>
        <rFont val="Calibri"/>
        <family val="2"/>
      </rPr>
      <t>2</t>
    </r>
    <r>
      <rPr>
        <sz val="10"/>
        <rFont val="Calibri"/>
        <family val="2"/>
      </rPr>
      <t>+[(ək</t>
    </r>
    <r>
      <rPr>
        <vertAlign val="subscript"/>
        <sz val="10"/>
        <rFont val="Calibri"/>
        <family val="2"/>
      </rPr>
      <t>BT,R</t>
    </r>
    <r>
      <rPr>
        <sz val="10"/>
        <rFont val="Calibri"/>
        <family val="2"/>
      </rPr>
      <t>/əE</t>
    </r>
    <r>
      <rPr>
        <vertAlign val="subscript"/>
        <sz val="10"/>
        <rFont val="Calibri"/>
        <family val="2"/>
      </rPr>
      <t>D,R</t>
    </r>
    <r>
      <rPr>
        <sz val="10"/>
        <rFont val="Calibri"/>
        <family val="2"/>
      </rPr>
      <t>)·SE(E</t>
    </r>
    <r>
      <rPr>
        <vertAlign val="subscript"/>
        <sz val="10"/>
        <rFont val="Calibri"/>
        <family val="2"/>
      </rPr>
      <t>D,R</t>
    </r>
    <r>
      <rPr>
        <sz val="10"/>
        <rFont val="Calibri"/>
        <family val="2"/>
      </rPr>
      <t>)]</t>
    </r>
    <r>
      <rPr>
        <vertAlign val="superscript"/>
        <sz val="10"/>
        <rFont val="Calibri"/>
        <family val="2"/>
      </rPr>
      <t>2</t>
    </r>
    <r>
      <rPr>
        <sz val="10"/>
        <rFont val="Calibri"/>
        <family val="2"/>
      </rPr>
      <t>+[(ək</t>
    </r>
    <r>
      <rPr>
        <vertAlign val="subscript"/>
        <sz val="10"/>
        <rFont val="Calibri"/>
        <family val="2"/>
      </rPr>
      <t>BT,R</t>
    </r>
    <r>
      <rPr>
        <sz val="10"/>
        <rFont val="Calibri"/>
        <family val="2"/>
      </rPr>
      <t>/əC</t>
    </r>
    <r>
      <rPr>
        <vertAlign val="subscript"/>
        <sz val="10"/>
        <rFont val="Calibri"/>
        <family val="2"/>
      </rPr>
      <t>1</t>
    </r>
    <r>
      <rPr>
        <sz val="10"/>
        <rFont val="Calibri"/>
        <family val="2"/>
      </rPr>
      <t>)·SE(C</t>
    </r>
    <r>
      <rPr>
        <vertAlign val="subscript"/>
        <sz val="10"/>
        <rFont val="Calibri"/>
        <family val="2"/>
      </rPr>
      <t>1</t>
    </r>
    <r>
      <rPr>
        <sz val="10"/>
        <rFont val="Calibri"/>
        <family val="2"/>
      </rPr>
      <t>)]</t>
    </r>
    <r>
      <rPr>
        <vertAlign val="superscript"/>
        <sz val="10"/>
        <rFont val="Calibri"/>
        <family val="2"/>
      </rPr>
      <t>2</t>
    </r>
    <r>
      <rPr>
        <sz val="10"/>
        <rFont val="Calibri"/>
        <family val="2"/>
      </rPr>
      <t>+[(ək</t>
    </r>
    <r>
      <rPr>
        <vertAlign val="subscript"/>
        <sz val="10"/>
        <rFont val="Calibri"/>
        <family val="2"/>
      </rPr>
      <t>BT,R</t>
    </r>
    <r>
      <rPr>
        <sz val="10"/>
        <rFont val="Calibri"/>
        <family val="2"/>
      </rPr>
      <t>/əC</t>
    </r>
    <r>
      <rPr>
        <vertAlign val="subscript"/>
        <sz val="10"/>
        <rFont val="Calibri"/>
        <family val="2"/>
      </rPr>
      <t>2</t>
    </r>
    <r>
      <rPr>
        <sz val="10"/>
        <rFont val="Calibri"/>
        <family val="2"/>
      </rPr>
      <t>)·SE(C</t>
    </r>
    <r>
      <rPr>
        <vertAlign val="subscript"/>
        <sz val="10"/>
        <rFont val="Calibri"/>
        <family val="2"/>
      </rPr>
      <t>2</t>
    </r>
    <r>
      <rPr>
        <sz val="10"/>
        <rFont val="Calibri"/>
        <family val="2"/>
      </rPr>
      <t>)]</t>
    </r>
    <r>
      <rPr>
        <vertAlign val="superscript"/>
        <sz val="10"/>
        <rFont val="Calibri"/>
        <family val="2"/>
      </rPr>
      <t>2</t>
    </r>
    <r>
      <rPr>
        <sz val="10"/>
        <rFont val="Calibri"/>
        <family val="2"/>
      </rPr>
      <t>+2·(ək</t>
    </r>
    <r>
      <rPr>
        <vertAlign val="subscript"/>
        <sz val="10"/>
        <rFont val="Calibri"/>
        <family val="2"/>
      </rPr>
      <t>BT,R</t>
    </r>
    <r>
      <rPr>
        <sz val="10"/>
        <rFont val="Calibri"/>
        <family val="2"/>
      </rPr>
      <t>/əC</t>
    </r>
    <r>
      <rPr>
        <vertAlign val="subscript"/>
        <sz val="10"/>
        <rFont val="Calibri"/>
        <family val="2"/>
      </rPr>
      <t>1</t>
    </r>
    <r>
      <rPr>
        <sz val="10"/>
        <rFont val="Calibri"/>
        <family val="2"/>
      </rPr>
      <t>)·(ək</t>
    </r>
    <r>
      <rPr>
        <vertAlign val="subscript"/>
        <sz val="10"/>
        <rFont val="Calibri"/>
        <family val="2"/>
      </rPr>
      <t>BT,R</t>
    </r>
    <r>
      <rPr>
        <sz val="10"/>
        <rFont val="Calibri"/>
        <family val="2"/>
      </rPr>
      <t>/əC</t>
    </r>
    <r>
      <rPr>
        <vertAlign val="subscript"/>
        <sz val="10"/>
        <rFont val="Calibri"/>
        <family val="2"/>
      </rPr>
      <t>2</t>
    </r>
    <r>
      <rPr>
        <sz val="10"/>
        <rFont val="Calibri"/>
        <family val="2"/>
      </rPr>
      <t>)·Cov(C</t>
    </r>
    <r>
      <rPr>
        <vertAlign val="subscript"/>
        <sz val="10"/>
        <rFont val="Calibri"/>
        <family val="2"/>
      </rPr>
      <t>1</t>
    </r>
    <r>
      <rPr>
        <sz val="10"/>
        <rFont val="Calibri"/>
        <family val="2"/>
      </rPr>
      <t>,C</t>
    </r>
    <r>
      <rPr>
        <vertAlign val="subscript"/>
        <sz val="10"/>
        <rFont val="Calibri"/>
        <family val="2"/>
      </rPr>
      <t>2</t>
    </r>
    <r>
      <rPr>
        <sz val="10"/>
        <rFont val="Calibri"/>
        <family val="2"/>
      </rPr>
      <t>)+[(ək</t>
    </r>
    <r>
      <rPr>
        <vertAlign val="subscript"/>
        <sz val="10"/>
        <rFont val="Calibri"/>
        <family val="2"/>
      </rPr>
      <t>BT,R</t>
    </r>
    <r>
      <rPr>
        <sz val="10"/>
        <rFont val="Calibri"/>
        <family val="2"/>
      </rPr>
      <t>/əC</t>
    </r>
    <r>
      <rPr>
        <vertAlign val="subscript"/>
        <sz val="10"/>
        <rFont val="Calibri"/>
        <family val="2"/>
      </rPr>
      <t>3</t>
    </r>
    <r>
      <rPr>
        <sz val="10"/>
        <rFont val="Calibri"/>
        <family val="2"/>
      </rPr>
      <t>)·SE(C</t>
    </r>
    <r>
      <rPr>
        <vertAlign val="subscript"/>
        <sz val="10"/>
        <rFont val="Calibri"/>
        <family val="2"/>
      </rPr>
      <t>3</t>
    </r>
    <r>
      <rPr>
        <sz val="10"/>
        <rFont val="Calibri"/>
        <family val="2"/>
      </rPr>
      <t>)]</t>
    </r>
    <r>
      <rPr>
        <vertAlign val="superscript"/>
        <sz val="10"/>
        <rFont val="Calibri"/>
        <family val="2"/>
      </rPr>
      <t>2</t>
    </r>
    <r>
      <rPr>
        <sz val="10"/>
        <rFont val="Calibri"/>
        <family val="2"/>
      </rPr>
      <t>+[(ək</t>
    </r>
    <r>
      <rPr>
        <vertAlign val="subscript"/>
        <sz val="10"/>
        <rFont val="Calibri"/>
        <family val="2"/>
      </rPr>
      <t>BT,R</t>
    </r>
    <r>
      <rPr>
        <sz val="10"/>
        <rFont val="Calibri"/>
        <family val="2"/>
      </rPr>
      <t>/əC</t>
    </r>
    <r>
      <rPr>
        <vertAlign val="subscript"/>
        <sz val="10"/>
        <rFont val="Calibri"/>
        <family val="2"/>
      </rPr>
      <t>4</t>
    </r>
    <r>
      <rPr>
        <sz val="10"/>
        <rFont val="Calibri"/>
        <family val="2"/>
      </rPr>
      <t>)·SE(C</t>
    </r>
    <r>
      <rPr>
        <vertAlign val="subscript"/>
        <sz val="10"/>
        <rFont val="Calibri"/>
        <family val="2"/>
      </rPr>
      <t>4</t>
    </r>
    <r>
      <rPr>
        <sz val="10"/>
        <rFont val="Calibri"/>
        <family val="2"/>
      </rPr>
      <t>)]</t>
    </r>
    <r>
      <rPr>
        <vertAlign val="superscript"/>
        <sz val="10"/>
        <rFont val="Calibri"/>
        <family val="2"/>
      </rPr>
      <t>2</t>
    </r>
    <r>
      <rPr>
        <sz val="10"/>
        <rFont val="Calibri"/>
        <family val="2"/>
      </rPr>
      <t>+2·(ək</t>
    </r>
    <r>
      <rPr>
        <vertAlign val="subscript"/>
        <sz val="10"/>
        <rFont val="Calibri"/>
        <family val="2"/>
      </rPr>
      <t>BT,R</t>
    </r>
    <r>
      <rPr>
        <sz val="10"/>
        <rFont val="Calibri"/>
        <family val="2"/>
      </rPr>
      <t>/əC</t>
    </r>
    <r>
      <rPr>
        <vertAlign val="subscript"/>
        <sz val="10"/>
        <rFont val="Calibri"/>
        <family val="2"/>
      </rPr>
      <t>3</t>
    </r>
    <r>
      <rPr>
        <sz val="10"/>
        <rFont val="Calibri"/>
        <family val="2"/>
      </rPr>
      <t>)·(ək</t>
    </r>
    <r>
      <rPr>
        <vertAlign val="subscript"/>
        <sz val="10"/>
        <rFont val="Calibri"/>
        <family val="2"/>
      </rPr>
      <t>BT,R</t>
    </r>
    <r>
      <rPr>
        <sz val="10"/>
        <rFont val="Calibri"/>
        <family val="2"/>
      </rPr>
      <t>/əC</t>
    </r>
    <r>
      <rPr>
        <vertAlign val="subscript"/>
        <sz val="10"/>
        <rFont val="Calibri"/>
        <family val="2"/>
      </rPr>
      <t>4</t>
    </r>
    <r>
      <rPr>
        <sz val="10"/>
        <rFont val="Calibri"/>
        <family val="2"/>
      </rPr>
      <t>)·Cov(C</t>
    </r>
    <r>
      <rPr>
        <vertAlign val="subscript"/>
        <sz val="10"/>
        <rFont val="Calibri"/>
        <family val="2"/>
      </rPr>
      <t>3</t>
    </r>
    <r>
      <rPr>
        <sz val="10"/>
        <rFont val="Calibri"/>
        <family val="2"/>
      </rPr>
      <t>,C</t>
    </r>
    <r>
      <rPr>
        <vertAlign val="subscript"/>
        <sz val="10"/>
        <rFont val="Calibri"/>
        <family val="2"/>
      </rPr>
      <t>4</t>
    </r>
    <r>
      <rPr>
        <sz val="10"/>
        <rFont val="Calibri"/>
        <family val="2"/>
      </rPr>
      <t>)+[(ək</t>
    </r>
    <r>
      <rPr>
        <vertAlign val="subscript"/>
        <sz val="10"/>
        <rFont val="Calibri"/>
        <family val="2"/>
      </rPr>
      <t>BT,R</t>
    </r>
    <r>
      <rPr>
        <sz val="10"/>
        <rFont val="Calibri"/>
        <family val="2"/>
      </rPr>
      <t>/əb</t>
    </r>
    <r>
      <rPr>
        <vertAlign val="subscript"/>
        <sz val="10"/>
        <rFont val="Calibri"/>
        <family val="2"/>
      </rPr>
      <t>0</t>
    </r>
    <r>
      <rPr>
        <sz val="10"/>
        <rFont val="Calibri"/>
        <family val="2"/>
      </rPr>
      <t>)·SE(b</t>
    </r>
    <r>
      <rPr>
        <vertAlign val="subscript"/>
        <sz val="10"/>
        <rFont val="Calibri"/>
        <family val="2"/>
      </rPr>
      <t>0</t>
    </r>
    <r>
      <rPr>
        <sz val="10"/>
        <rFont val="Calibri"/>
        <family val="2"/>
      </rPr>
      <t>)]</t>
    </r>
    <r>
      <rPr>
        <vertAlign val="superscript"/>
        <sz val="10"/>
        <rFont val="Calibri"/>
        <family val="2"/>
      </rPr>
      <t>2</t>
    </r>
    <r>
      <rPr>
        <sz val="10"/>
        <rFont val="Calibri"/>
        <family val="2"/>
      </rPr>
      <t>+[(ək</t>
    </r>
    <r>
      <rPr>
        <vertAlign val="subscript"/>
        <sz val="10"/>
        <rFont val="Calibri"/>
        <family val="2"/>
      </rPr>
      <t>BT,R</t>
    </r>
    <r>
      <rPr>
        <sz val="10"/>
        <rFont val="Calibri"/>
        <family val="2"/>
      </rPr>
      <t>/əb</t>
    </r>
    <r>
      <rPr>
        <vertAlign val="subscript"/>
        <sz val="10"/>
        <rFont val="Calibri"/>
        <family val="2"/>
      </rPr>
      <t>1</t>
    </r>
    <r>
      <rPr>
        <sz val="10"/>
        <rFont val="Calibri"/>
        <family val="2"/>
      </rPr>
      <t>)·SE(b</t>
    </r>
    <r>
      <rPr>
        <vertAlign val="subscript"/>
        <sz val="10"/>
        <rFont val="Calibri"/>
        <family val="2"/>
      </rPr>
      <t>1</t>
    </r>
    <r>
      <rPr>
        <sz val="10"/>
        <rFont val="Calibri"/>
        <family val="2"/>
      </rPr>
      <t>)]</t>
    </r>
    <r>
      <rPr>
        <vertAlign val="superscript"/>
        <sz val="10"/>
        <rFont val="Calibri"/>
        <family val="2"/>
      </rPr>
      <t>2</t>
    </r>
    <r>
      <rPr>
        <sz val="10"/>
        <rFont val="Calibri"/>
        <family val="2"/>
      </rPr>
      <t>+2·(ək</t>
    </r>
    <r>
      <rPr>
        <vertAlign val="subscript"/>
        <sz val="10"/>
        <rFont val="Calibri"/>
        <family val="2"/>
      </rPr>
      <t>BT,R</t>
    </r>
    <r>
      <rPr>
        <sz val="10"/>
        <rFont val="Calibri"/>
        <family val="2"/>
      </rPr>
      <t>/əb</t>
    </r>
    <r>
      <rPr>
        <vertAlign val="subscript"/>
        <sz val="10"/>
        <rFont val="Calibri"/>
        <family val="2"/>
      </rPr>
      <t>0</t>
    </r>
    <r>
      <rPr>
        <sz val="10"/>
        <rFont val="Calibri"/>
        <family val="2"/>
      </rPr>
      <t>)·(ək</t>
    </r>
    <r>
      <rPr>
        <vertAlign val="subscript"/>
        <sz val="10"/>
        <rFont val="Calibri"/>
        <family val="2"/>
      </rPr>
      <t>BT,R</t>
    </r>
    <r>
      <rPr>
        <sz val="10"/>
        <rFont val="Calibri"/>
        <family val="2"/>
      </rPr>
      <t>/əb</t>
    </r>
    <r>
      <rPr>
        <vertAlign val="subscript"/>
        <sz val="10"/>
        <rFont val="Calibri"/>
        <family val="2"/>
      </rPr>
      <t>1</t>
    </r>
    <r>
      <rPr>
        <sz val="10"/>
        <rFont val="Calibri"/>
        <family val="2"/>
      </rPr>
      <t>)·Cov(b</t>
    </r>
    <r>
      <rPr>
        <vertAlign val="subscript"/>
        <sz val="10"/>
        <rFont val="Calibri"/>
        <family val="2"/>
      </rPr>
      <t>0</t>
    </r>
    <r>
      <rPr>
        <sz val="10"/>
        <rFont val="Calibri"/>
        <family val="2"/>
      </rPr>
      <t>,b</t>
    </r>
    <r>
      <rPr>
        <vertAlign val="subscript"/>
        <sz val="10"/>
        <rFont val="Calibri"/>
        <family val="2"/>
      </rPr>
      <t>1</t>
    </r>
    <r>
      <rPr>
        <sz val="10"/>
        <rFont val="Calibri"/>
        <family val="2"/>
      </rPr>
      <t>)}</t>
    </r>
    <r>
      <rPr>
        <vertAlign val="superscript"/>
        <sz val="10"/>
        <rFont val="Calibri"/>
        <family val="2"/>
      </rPr>
      <t>0.5</t>
    </r>
    <phoneticPr fontId="23" type="noConversion"/>
  </si>
  <si>
    <r>
      <t>SE(k</t>
    </r>
    <r>
      <rPr>
        <vertAlign val="subscript"/>
        <sz val="10"/>
        <rFont val="Calibri"/>
        <family val="2"/>
      </rPr>
      <t>BG</t>
    </r>
    <r>
      <rPr>
        <sz val="10"/>
        <rFont val="Calibri"/>
        <family val="2"/>
      </rPr>
      <t>) = {[(ək</t>
    </r>
    <r>
      <rPr>
        <vertAlign val="subscript"/>
        <sz val="10"/>
        <rFont val="Calibri"/>
        <family val="2"/>
      </rPr>
      <t>BG</t>
    </r>
    <r>
      <rPr>
        <sz val="10"/>
        <rFont val="Calibri"/>
        <family val="2"/>
      </rPr>
      <t>/əF</t>
    </r>
    <r>
      <rPr>
        <vertAlign val="subscript"/>
        <sz val="10"/>
        <rFont val="Calibri"/>
        <family val="2"/>
      </rPr>
      <t>D</t>
    </r>
    <r>
      <rPr>
        <sz val="10"/>
        <rFont val="Calibri"/>
        <family val="2"/>
      </rPr>
      <t>)·SE(F</t>
    </r>
    <r>
      <rPr>
        <vertAlign val="subscript"/>
        <sz val="10"/>
        <rFont val="Calibri"/>
        <family val="2"/>
      </rPr>
      <t>D</t>
    </r>
    <r>
      <rPr>
        <sz val="10"/>
        <rFont val="Calibri"/>
        <family val="2"/>
      </rPr>
      <t>)]</t>
    </r>
    <r>
      <rPr>
        <vertAlign val="superscript"/>
        <sz val="10"/>
        <rFont val="Calibri"/>
        <family val="2"/>
      </rPr>
      <t>2</t>
    </r>
    <r>
      <rPr>
        <sz val="10"/>
        <rFont val="Calibri"/>
        <family val="2"/>
      </rPr>
      <t>+[(ək</t>
    </r>
    <r>
      <rPr>
        <vertAlign val="subscript"/>
        <sz val="10"/>
        <rFont val="Calibri"/>
        <family val="2"/>
      </rPr>
      <t>BG</t>
    </r>
    <r>
      <rPr>
        <sz val="10"/>
        <rFont val="Calibri"/>
        <family val="2"/>
      </rPr>
      <t>/əE</t>
    </r>
    <r>
      <rPr>
        <vertAlign val="subscript"/>
        <sz val="10"/>
        <rFont val="Calibri"/>
        <family val="2"/>
      </rPr>
      <t>D,R</t>
    </r>
    <r>
      <rPr>
        <sz val="10"/>
        <rFont val="Calibri"/>
        <family val="2"/>
      </rPr>
      <t>)·SE(E</t>
    </r>
    <r>
      <rPr>
        <vertAlign val="subscript"/>
        <sz val="10"/>
        <rFont val="Calibri"/>
        <family val="2"/>
      </rPr>
      <t>D,R</t>
    </r>
    <r>
      <rPr>
        <sz val="10"/>
        <rFont val="Calibri"/>
        <family val="2"/>
      </rPr>
      <t>)]</t>
    </r>
    <r>
      <rPr>
        <vertAlign val="superscript"/>
        <sz val="10"/>
        <rFont val="Calibri"/>
        <family val="2"/>
      </rPr>
      <t>2</t>
    </r>
    <r>
      <rPr>
        <sz val="10"/>
        <rFont val="Calibri"/>
        <family val="2"/>
      </rPr>
      <t>}</t>
    </r>
    <r>
      <rPr>
        <vertAlign val="superscript"/>
        <sz val="10"/>
        <rFont val="Calibri"/>
        <family val="2"/>
      </rPr>
      <t>0.5</t>
    </r>
    <phoneticPr fontId="23" type="noConversion"/>
  </si>
  <si>
    <r>
      <t>If reference chemicals used="Yes", SE(k</t>
    </r>
    <r>
      <rPr>
        <vertAlign val="subscript"/>
        <sz val="10"/>
        <rFont val="Calibri"/>
        <family val="2"/>
      </rPr>
      <t>BM</t>
    </r>
    <r>
      <rPr>
        <sz val="10"/>
        <rFont val="Calibri"/>
        <family val="2"/>
      </rPr>
      <t>) = [SE(k</t>
    </r>
    <r>
      <rPr>
        <vertAlign val="subscript"/>
        <sz val="10"/>
        <rFont val="Calibri"/>
        <family val="2"/>
      </rPr>
      <t>BT</t>
    </r>
    <r>
      <rPr>
        <sz val="10"/>
        <rFont val="Calibri"/>
        <family val="2"/>
      </rPr>
      <t>)</t>
    </r>
    <r>
      <rPr>
        <vertAlign val="superscript"/>
        <sz val="10"/>
        <rFont val="Calibri"/>
        <family val="2"/>
      </rPr>
      <t>2</t>
    </r>
    <r>
      <rPr>
        <sz val="10"/>
        <rFont val="Calibri"/>
        <family val="2"/>
      </rPr>
      <t>+SE(k</t>
    </r>
    <r>
      <rPr>
        <vertAlign val="subscript"/>
        <sz val="10"/>
        <rFont val="Calibri"/>
        <family val="2"/>
      </rPr>
      <t>BT,R</t>
    </r>
    <r>
      <rPr>
        <sz val="10"/>
        <rFont val="Calibri"/>
        <family val="2"/>
      </rPr>
      <t>)</t>
    </r>
    <r>
      <rPr>
        <vertAlign val="superscript"/>
        <sz val="10"/>
        <rFont val="Calibri"/>
        <family val="2"/>
      </rPr>
      <t>2</t>
    </r>
    <r>
      <rPr>
        <sz val="10"/>
        <rFont val="Calibri"/>
        <family val="2"/>
      </rPr>
      <t>]</t>
    </r>
    <r>
      <rPr>
        <vertAlign val="superscript"/>
        <sz val="10"/>
        <rFont val="Calibri"/>
        <family val="2"/>
      </rPr>
      <t>0.5</t>
    </r>
    <r>
      <rPr>
        <sz val="10"/>
        <rFont val="Calibri"/>
        <family val="2"/>
      </rPr>
      <t>; if reference chemicals used="No", SE(k</t>
    </r>
    <r>
      <rPr>
        <vertAlign val="subscript"/>
        <sz val="10"/>
        <rFont val="Calibri"/>
        <family val="2"/>
      </rPr>
      <t>BM</t>
    </r>
    <r>
      <rPr>
        <sz val="10"/>
        <rFont val="Calibri"/>
        <family val="2"/>
      </rPr>
      <t>) =  {[(ək</t>
    </r>
    <r>
      <rPr>
        <vertAlign val="subscript"/>
        <sz val="10"/>
        <rFont val="Calibri"/>
        <family val="2"/>
      </rPr>
      <t>BM</t>
    </r>
    <r>
      <rPr>
        <sz val="10"/>
        <rFont val="Calibri"/>
        <family val="2"/>
      </rPr>
      <t>/əW</t>
    </r>
    <r>
      <rPr>
        <vertAlign val="subscript"/>
        <sz val="10"/>
        <rFont val="Calibri"/>
        <family val="2"/>
      </rPr>
      <t>B</t>
    </r>
    <r>
      <rPr>
        <sz val="10"/>
        <rFont val="Calibri"/>
        <family val="2"/>
      </rPr>
      <t>)·SE(W</t>
    </r>
    <r>
      <rPr>
        <vertAlign val="subscript"/>
        <sz val="10"/>
        <rFont val="Calibri"/>
        <family val="2"/>
      </rPr>
      <t>B</t>
    </r>
    <r>
      <rPr>
        <sz val="10"/>
        <rFont val="Calibri"/>
        <family val="2"/>
      </rPr>
      <t>)]</t>
    </r>
    <r>
      <rPr>
        <vertAlign val="superscript"/>
        <sz val="10"/>
        <rFont val="Calibri"/>
        <family val="2"/>
      </rPr>
      <t>2</t>
    </r>
    <r>
      <rPr>
        <sz val="10"/>
        <rFont val="Calibri"/>
        <family val="2"/>
      </rPr>
      <t>+[(ək</t>
    </r>
    <r>
      <rPr>
        <vertAlign val="subscript"/>
        <sz val="10"/>
        <rFont val="Calibri"/>
        <family val="2"/>
      </rPr>
      <t>BM</t>
    </r>
    <r>
      <rPr>
        <sz val="10"/>
        <rFont val="Calibri"/>
        <family val="2"/>
      </rPr>
      <t>/əC</t>
    </r>
    <r>
      <rPr>
        <vertAlign val="subscript"/>
        <sz val="10"/>
        <rFont val="Calibri"/>
        <family val="2"/>
      </rPr>
      <t>D</t>
    </r>
    <r>
      <rPr>
        <sz val="10"/>
        <rFont val="Calibri"/>
        <family val="2"/>
      </rPr>
      <t>)·SE(C</t>
    </r>
    <r>
      <rPr>
        <vertAlign val="subscript"/>
        <sz val="10"/>
        <rFont val="Calibri"/>
        <family val="2"/>
      </rPr>
      <t>D</t>
    </r>
    <r>
      <rPr>
        <sz val="10"/>
        <rFont val="Calibri"/>
        <family val="2"/>
      </rPr>
      <t>)]</t>
    </r>
    <r>
      <rPr>
        <vertAlign val="superscript"/>
        <sz val="10"/>
        <rFont val="Calibri"/>
        <family val="2"/>
      </rPr>
      <t>2</t>
    </r>
    <r>
      <rPr>
        <sz val="10"/>
        <rFont val="Calibri"/>
        <family val="2"/>
      </rPr>
      <t>+[(ək</t>
    </r>
    <r>
      <rPr>
        <vertAlign val="subscript"/>
        <sz val="10"/>
        <rFont val="Calibri"/>
        <family val="2"/>
      </rPr>
      <t>BM</t>
    </r>
    <r>
      <rPr>
        <sz val="10"/>
        <rFont val="Calibri"/>
        <family val="2"/>
      </rPr>
      <t>/əF</t>
    </r>
    <r>
      <rPr>
        <vertAlign val="subscript"/>
        <sz val="10"/>
        <rFont val="Calibri"/>
        <family val="2"/>
      </rPr>
      <t>D</t>
    </r>
    <r>
      <rPr>
        <sz val="10"/>
        <rFont val="Calibri"/>
        <family val="2"/>
      </rPr>
      <t>)·SE(F</t>
    </r>
    <r>
      <rPr>
        <vertAlign val="subscript"/>
        <sz val="10"/>
        <rFont val="Calibri"/>
        <family val="2"/>
      </rPr>
      <t>D</t>
    </r>
    <r>
      <rPr>
        <sz val="10"/>
        <rFont val="Calibri"/>
        <family val="2"/>
      </rPr>
      <t>)]</t>
    </r>
    <r>
      <rPr>
        <vertAlign val="superscript"/>
        <sz val="10"/>
        <rFont val="Calibri"/>
        <family val="2"/>
      </rPr>
      <t>2</t>
    </r>
    <r>
      <rPr>
        <sz val="10"/>
        <rFont val="Calibri"/>
        <family val="2"/>
      </rPr>
      <t>+[(ək</t>
    </r>
    <r>
      <rPr>
        <vertAlign val="subscript"/>
        <sz val="10"/>
        <rFont val="Calibri"/>
        <family val="2"/>
      </rPr>
      <t>BM</t>
    </r>
    <r>
      <rPr>
        <sz val="10"/>
        <rFont val="Calibri"/>
        <family val="2"/>
      </rPr>
      <t>/əC</t>
    </r>
    <r>
      <rPr>
        <vertAlign val="subscript"/>
        <sz val="10"/>
        <rFont val="Calibri"/>
        <family val="2"/>
      </rPr>
      <t>OX</t>
    </r>
    <r>
      <rPr>
        <sz val="10"/>
        <rFont val="Calibri"/>
        <family val="2"/>
      </rPr>
      <t>)·SE(C</t>
    </r>
    <r>
      <rPr>
        <vertAlign val="subscript"/>
        <sz val="10"/>
        <rFont val="Calibri"/>
        <family val="2"/>
      </rPr>
      <t>OX</t>
    </r>
    <r>
      <rPr>
        <sz val="10"/>
        <rFont val="Calibri"/>
        <family val="2"/>
      </rPr>
      <t>)]</t>
    </r>
    <r>
      <rPr>
        <vertAlign val="superscript"/>
        <sz val="10"/>
        <rFont val="Calibri"/>
        <family val="2"/>
      </rPr>
      <t>2</t>
    </r>
    <r>
      <rPr>
        <sz val="10"/>
        <rFont val="Calibri"/>
        <family val="2"/>
      </rPr>
      <t>+[(ək</t>
    </r>
    <r>
      <rPr>
        <vertAlign val="subscript"/>
        <sz val="10"/>
        <rFont val="Calibri"/>
        <family val="2"/>
      </rPr>
      <t>BM</t>
    </r>
    <r>
      <rPr>
        <sz val="10"/>
        <rFont val="Calibri"/>
        <family val="2"/>
      </rPr>
      <t>/ək</t>
    </r>
    <r>
      <rPr>
        <vertAlign val="subscript"/>
        <sz val="10"/>
        <rFont val="Calibri"/>
        <family val="2"/>
      </rPr>
      <t>GD</t>
    </r>
    <r>
      <rPr>
        <sz val="10"/>
        <rFont val="Calibri"/>
        <family val="2"/>
      </rPr>
      <t>)·SE(k</t>
    </r>
    <r>
      <rPr>
        <vertAlign val="subscript"/>
        <sz val="10"/>
        <rFont val="Calibri"/>
        <family val="2"/>
      </rPr>
      <t>GD</t>
    </r>
    <r>
      <rPr>
        <sz val="10"/>
        <rFont val="Calibri"/>
        <family val="2"/>
      </rPr>
      <t>)]</t>
    </r>
    <r>
      <rPr>
        <vertAlign val="superscript"/>
        <sz val="10"/>
        <rFont val="Calibri"/>
        <family val="2"/>
      </rPr>
      <t>2</t>
    </r>
    <r>
      <rPr>
        <sz val="10"/>
        <rFont val="Calibri"/>
        <family val="2"/>
      </rPr>
      <t>+[(ək</t>
    </r>
    <r>
      <rPr>
        <vertAlign val="subscript"/>
        <sz val="10"/>
        <rFont val="Calibri"/>
        <family val="2"/>
      </rPr>
      <t>BM</t>
    </r>
    <r>
      <rPr>
        <sz val="10"/>
        <rFont val="Calibri"/>
        <family val="2"/>
      </rPr>
      <t>/əE</t>
    </r>
    <r>
      <rPr>
        <vertAlign val="subscript"/>
        <sz val="10"/>
        <rFont val="Calibri"/>
        <family val="2"/>
      </rPr>
      <t>D,R</t>
    </r>
    <r>
      <rPr>
        <sz val="10"/>
        <rFont val="Calibri"/>
        <family val="2"/>
      </rPr>
      <t>)·SE(E</t>
    </r>
    <r>
      <rPr>
        <vertAlign val="subscript"/>
        <sz val="10"/>
        <rFont val="Calibri"/>
        <family val="2"/>
      </rPr>
      <t>D,R</t>
    </r>
    <r>
      <rPr>
        <sz val="10"/>
        <rFont val="Calibri"/>
        <family val="2"/>
      </rPr>
      <t>)]</t>
    </r>
    <r>
      <rPr>
        <vertAlign val="superscript"/>
        <sz val="10"/>
        <rFont val="Calibri"/>
        <family val="2"/>
      </rPr>
      <t>2</t>
    </r>
    <r>
      <rPr>
        <sz val="10"/>
        <rFont val="Calibri"/>
        <family val="2"/>
      </rPr>
      <t>+[(ək</t>
    </r>
    <r>
      <rPr>
        <vertAlign val="subscript"/>
        <sz val="10"/>
        <rFont val="Calibri"/>
        <family val="2"/>
      </rPr>
      <t>BM</t>
    </r>
    <r>
      <rPr>
        <sz val="10"/>
        <rFont val="Calibri"/>
        <family val="2"/>
      </rPr>
      <t>/əC</t>
    </r>
    <r>
      <rPr>
        <vertAlign val="subscript"/>
        <sz val="10"/>
        <rFont val="Calibri"/>
        <family val="2"/>
      </rPr>
      <t>1</t>
    </r>
    <r>
      <rPr>
        <sz val="10"/>
        <rFont val="Calibri"/>
        <family val="2"/>
      </rPr>
      <t>)·SE(C</t>
    </r>
    <r>
      <rPr>
        <vertAlign val="subscript"/>
        <sz val="10"/>
        <rFont val="Calibri"/>
        <family val="2"/>
      </rPr>
      <t>1</t>
    </r>
    <r>
      <rPr>
        <sz val="10"/>
        <rFont val="Calibri"/>
        <family val="2"/>
      </rPr>
      <t>)]</t>
    </r>
    <r>
      <rPr>
        <vertAlign val="superscript"/>
        <sz val="10"/>
        <rFont val="Calibri"/>
        <family val="2"/>
      </rPr>
      <t>2</t>
    </r>
    <r>
      <rPr>
        <sz val="10"/>
        <rFont val="Calibri"/>
        <family val="2"/>
      </rPr>
      <t>+[(ək</t>
    </r>
    <r>
      <rPr>
        <vertAlign val="subscript"/>
        <sz val="10"/>
        <rFont val="Calibri"/>
        <family val="2"/>
      </rPr>
      <t>BM</t>
    </r>
    <r>
      <rPr>
        <sz val="10"/>
        <rFont val="Calibri"/>
        <family val="2"/>
      </rPr>
      <t>/əC</t>
    </r>
    <r>
      <rPr>
        <vertAlign val="subscript"/>
        <sz val="10"/>
        <rFont val="Calibri"/>
        <family val="2"/>
      </rPr>
      <t>2</t>
    </r>
    <r>
      <rPr>
        <sz val="10"/>
        <rFont val="Calibri"/>
        <family val="2"/>
      </rPr>
      <t>)·SE(C</t>
    </r>
    <r>
      <rPr>
        <vertAlign val="subscript"/>
        <sz val="10"/>
        <rFont val="Calibri"/>
        <family val="2"/>
      </rPr>
      <t>2</t>
    </r>
    <r>
      <rPr>
        <sz val="10"/>
        <rFont val="Calibri"/>
        <family val="2"/>
      </rPr>
      <t>)]</t>
    </r>
    <r>
      <rPr>
        <vertAlign val="superscript"/>
        <sz val="10"/>
        <rFont val="Calibri"/>
        <family val="2"/>
      </rPr>
      <t>2</t>
    </r>
    <r>
      <rPr>
        <sz val="10"/>
        <rFont val="Calibri"/>
        <family val="2"/>
      </rPr>
      <t>+2·(ək</t>
    </r>
    <r>
      <rPr>
        <vertAlign val="subscript"/>
        <sz val="10"/>
        <rFont val="Calibri"/>
        <family val="2"/>
      </rPr>
      <t>BM</t>
    </r>
    <r>
      <rPr>
        <sz val="10"/>
        <rFont val="Calibri"/>
        <family val="2"/>
      </rPr>
      <t>/əC</t>
    </r>
    <r>
      <rPr>
        <vertAlign val="subscript"/>
        <sz val="10"/>
        <rFont val="Calibri"/>
        <family val="2"/>
      </rPr>
      <t>1</t>
    </r>
    <r>
      <rPr>
        <sz val="10"/>
        <rFont val="Calibri"/>
        <family val="2"/>
      </rPr>
      <t>)·(ək</t>
    </r>
    <r>
      <rPr>
        <vertAlign val="subscript"/>
        <sz val="10"/>
        <rFont val="Calibri"/>
        <family val="2"/>
      </rPr>
      <t>BM</t>
    </r>
    <r>
      <rPr>
        <sz val="10"/>
        <rFont val="Calibri"/>
        <family val="2"/>
      </rPr>
      <t>/əC</t>
    </r>
    <r>
      <rPr>
        <vertAlign val="subscript"/>
        <sz val="10"/>
        <rFont val="Calibri"/>
        <family val="2"/>
      </rPr>
      <t>2</t>
    </r>
    <r>
      <rPr>
        <sz val="10"/>
        <rFont val="Calibri"/>
        <family val="2"/>
      </rPr>
      <t>)·Cov(C</t>
    </r>
    <r>
      <rPr>
        <vertAlign val="subscript"/>
        <sz val="10"/>
        <rFont val="Calibri"/>
        <family val="2"/>
      </rPr>
      <t>1</t>
    </r>
    <r>
      <rPr>
        <sz val="10"/>
        <rFont val="Calibri"/>
        <family val="2"/>
      </rPr>
      <t>,C</t>
    </r>
    <r>
      <rPr>
        <vertAlign val="subscript"/>
        <sz val="10"/>
        <rFont val="Calibri"/>
        <family val="2"/>
      </rPr>
      <t>2</t>
    </r>
    <r>
      <rPr>
        <sz val="10"/>
        <rFont val="Calibri"/>
        <family val="2"/>
      </rPr>
      <t>)+[(ək</t>
    </r>
    <r>
      <rPr>
        <vertAlign val="subscript"/>
        <sz val="10"/>
        <rFont val="Calibri"/>
        <family val="2"/>
      </rPr>
      <t>BM</t>
    </r>
    <r>
      <rPr>
        <sz val="10"/>
        <rFont val="Calibri"/>
        <family val="2"/>
      </rPr>
      <t>/əC</t>
    </r>
    <r>
      <rPr>
        <vertAlign val="subscript"/>
        <sz val="10"/>
        <rFont val="Calibri"/>
        <family val="2"/>
      </rPr>
      <t>3</t>
    </r>
    <r>
      <rPr>
        <sz val="10"/>
        <rFont val="Calibri"/>
        <family val="2"/>
      </rPr>
      <t>)·SE(C</t>
    </r>
    <r>
      <rPr>
        <vertAlign val="subscript"/>
        <sz val="10"/>
        <rFont val="Calibri"/>
        <family val="2"/>
      </rPr>
      <t>3</t>
    </r>
    <r>
      <rPr>
        <sz val="10"/>
        <rFont val="Calibri"/>
        <family val="2"/>
      </rPr>
      <t>)]</t>
    </r>
    <r>
      <rPr>
        <vertAlign val="superscript"/>
        <sz val="10"/>
        <rFont val="Calibri"/>
        <family val="2"/>
      </rPr>
      <t>2</t>
    </r>
    <r>
      <rPr>
        <sz val="10"/>
        <rFont val="Calibri"/>
        <family val="2"/>
      </rPr>
      <t>+[(ək</t>
    </r>
    <r>
      <rPr>
        <vertAlign val="subscript"/>
        <sz val="10"/>
        <rFont val="Calibri"/>
        <family val="2"/>
      </rPr>
      <t>BM</t>
    </r>
    <r>
      <rPr>
        <sz val="10"/>
        <rFont val="Calibri"/>
        <family val="2"/>
      </rPr>
      <t>/əC</t>
    </r>
    <r>
      <rPr>
        <vertAlign val="subscript"/>
        <sz val="10"/>
        <rFont val="Calibri"/>
        <family val="2"/>
      </rPr>
      <t>4</t>
    </r>
    <r>
      <rPr>
        <sz val="10"/>
        <rFont val="Calibri"/>
        <family val="2"/>
      </rPr>
      <t>)·SE(C</t>
    </r>
    <r>
      <rPr>
        <vertAlign val="subscript"/>
        <sz val="10"/>
        <rFont val="Calibri"/>
        <family val="2"/>
      </rPr>
      <t>4</t>
    </r>
    <r>
      <rPr>
        <sz val="10"/>
        <rFont val="Calibri"/>
        <family val="2"/>
      </rPr>
      <t>)]</t>
    </r>
    <r>
      <rPr>
        <vertAlign val="superscript"/>
        <sz val="10"/>
        <rFont val="Calibri"/>
        <family val="2"/>
      </rPr>
      <t>2</t>
    </r>
    <r>
      <rPr>
        <sz val="10"/>
        <rFont val="Calibri"/>
        <family val="2"/>
      </rPr>
      <t>+2·(ək</t>
    </r>
    <r>
      <rPr>
        <vertAlign val="subscript"/>
        <sz val="10"/>
        <rFont val="Calibri"/>
        <family val="2"/>
      </rPr>
      <t>BM</t>
    </r>
    <r>
      <rPr>
        <sz val="10"/>
        <rFont val="Calibri"/>
        <family val="2"/>
      </rPr>
      <t>/əC</t>
    </r>
    <r>
      <rPr>
        <vertAlign val="subscript"/>
        <sz val="10"/>
        <rFont val="Calibri"/>
        <family val="2"/>
      </rPr>
      <t>3</t>
    </r>
    <r>
      <rPr>
        <sz val="10"/>
        <rFont val="Calibri"/>
        <family val="2"/>
      </rPr>
      <t>)·(ək</t>
    </r>
    <r>
      <rPr>
        <vertAlign val="subscript"/>
        <sz val="10"/>
        <rFont val="Calibri"/>
        <family val="2"/>
      </rPr>
      <t>BM</t>
    </r>
    <r>
      <rPr>
        <sz val="10"/>
        <rFont val="Calibri"/>
        <family val="2"/>
      </rPr>
      <t>/əC</t>
    </r>
    <r>
      <rPr>
        <vertAlign val="subscript"/>
        <sz val="10"/>
        <rFont val="Calibri"/>
        <family val="2"/>
      </rPr>
      <t>4</t>
    </r>
    <r>
      <rPr>
        <sz val="10"/>
        <rFont val="Calibri"/>
        <family val="2"/>
      </rPr>
      <t>)·Cov(C</t>
    </r>
    <r>
      <rPr>
        <vertAlign val="subscript"/>
        <sz val="10"/>
        <rFont val="Calibri"/>
        <family val="2"/>
      </rPr>
      <t>3</t>
    </r>
    <r>
      <rPr>
        <sz val="10"/>
        <rFont val="Calibri"/>
        <family val="2"/>
      </rPr>
      <t>,C</t>
    </r>
    <r>
      <rPr>
        <vertAlign val="subscript"/>
        <sz val="10"/>
        <rFont val="Calibri"/>
        <family val="2"/>
      </rPr>
      <t>4</t>
    </r>
    <r>
      <rPr>
        <sz val="10"/>
        <rFont val="Calibri"/>
        <family val="2"/>
      </rPr>
      <t>)+[(ək</t>
    </r>
    <r>
      <rPr>
        <vertAlign val="subscript"/>
        <sz val="10"/>
        <rFont val="Calibri"/>
        <family val="2"/>
      </rPr>
      <t>BM</t>
    </r>
    <r>
      <rPr>
        <sz val="10"/>
        <rFont val="Calibri"/>
        <family val="2"/>
      </rPr>
      <t>/əb</t>
    </r>
    <r>
      <rPr>
        <vertAlign val="subscript"/>
        <sz val="10"/>
        <rFont val="Calibri"/>
        <family val="2"/>
      </rPr>
      <t>0</t>
    </r>
    <r>
      <rPr>
        <sz val="10"/>
        <rFont val="Calibri"/>
        <family val="2"/>
      </rPr>
      <t>)·SE(b</t>
    </r>
    <r>
      <rPr>
        <vertAlign val="subscript"/>
        <sz val="10"/>
        <rFont val="Calibri"/>
        <family val="2"/>
      </rPr>
      <t>0</t>
    </r>
    <r>
      <rPr>
        <sz val="10"/>
        <rFont val="Calibri"/>
        <family val="2"/>
      </rPr>
      <t>)]</t>
    </r>
    <r>
      <rPr>
        <vertAlign val="superscript"/>
        <sz val="10"/>
        <rFont val="Calibri"/>
        <family val="2"/>
      </rPr>
      <t>2</t>
    </r>
    <r>
      <rPr>
        <sz val="10"/>
        <rFont val="Calibri"/>
        <family val="2"/>
      </rPr>
      <t>+[(ək</t>
    </r>
    <r>
      <rPr>
        <vertAlign val="subscript"/>
        <sz val="10"/>
        <rFont val="Calibri"/>
        <family val="2"/>
      </rPr>
      <t>BM</t>
    </r>
    <r>
      <rPr>
        <sz val="10"/>
        <rFont val="Calibri"/>
        <family val="2"/>
      </rPr>
      <t>/əb</t>
    </r>
    <r>
      <rPr>
        <vertAlign val="subscript"/>
        <sz val="10"/>
        <rFont val="Calibri"/>
        <family val="2"/>
      </rPr>
      <t>1</t>
    </r>
    <r>
      <rPr>
        <sz val="10"/>
        <rFont val="Calibri"/>
        <family val="2"/>
      </rPr>
      <t>)·SE(b</t>
    </r>
    <r>
      <rPr>
        <vertAlign val="subscript"/>
        <sz val="10"/>
        <rFont val="Calibri"/>
        <family val="2"/>
      </rPr>
      <t>1</t>
    </r>
    <r>
      <rPr>
        <sz val="10"/>
        <rFont val="Calibri"/>
        <family val="2"/>
      </rPr>
      <t>)]</t>
    </r>
    <r>
      <rPr>
        <vertAlign val="superscript"/>
        <sz val="10"/>
        <rFont val="Calibri"/>
        <family val="2"/>
      </rPr>
      <t>2</t>
    </r>
    <r>
      <rPr>
        <sz val="10"/>
        <rFont val="Calibri"/>
        <family val="2"/>
      </rPr>
      <t>+2·(ək</t>
    </r>
    <r>
      <rPr>
        <vertAlign val="subscript"/>
        <sz val="10"/>
        <rFont val="Calibri"/>
        <family val="2"/>
      </rPr>
      <t>BM</t>
    </r>
    <r>
      <rPr>
        <sz val="10"/>
        <rFont val="Calibri"/>
        <family val="2"/>
      </rPr>
      <t>/əb</t>
    </r>
    <r>
      <rPr>
        <vertAlign val="subscript"/>
        <sz val="10"/>
        <rFont val="Calibri"/>
        <family val="2"/>
      </rPr>
      <t>0</t>
    </r>
    <r>
      <rPr>
        <sz val="10"/>
        <rFont val="Calibri"/>
        <family val="2"/>
      </rPr>
      <t>)·(ək</t>
    </r>
    <r>
      <rPr>
        <vertAlign val="subscript"/>
        <sz val="10"/>
        <rFont val="Calibri"/>
        <family val="2"/>
      </rPr>
      <t>BM</t>
    </r>
    <r>
      <rPr>
        <sz val="10"/>
        <rFont val="Calibri"/>
        <family val="2"/>
      </rPr>
      <t>/əb</t>
    </r>
    <r>
      <rPr>
        <vertAlign val="subscript"/>
        <sz val="10"/>
        <rFont val="Calibri"/>
        <family val="2"/>
      </rPr>
      <t>1</t>
    </r>
    <r>
      <rPr>
        <sz val="10"/>
        <rFont val="Calibri"/>
        <family val="2"/>
      </rPr>
      <t>)·Cov(b</t>
    </r>
    <r>
      <rPr>
        <vertAlign val="subscript"/>
        <sz val="10"/>
        <rFont val="Calibri"/>
        <family val="2"/>
      </rPr>
      <t>0</t>
    </r>
    <r>
      <rPr>
        <sz val="10"/>
        <rFont val="Calibri"/>
        <family val="2"/>
      </rPr>
      <t>,b</t>
    </r>
    <r>
      <rPr>
        <vertAlign val="subscript"/>
        <sz val="10"/>
        <rFont val="Calibri"/>
        <family val="2"/>
      </rPr>
      <t>1</t>
    </r>
    <r>
      <rPr>
        <sz val="10"/>
        <rFont val="Calibri"/>
        <family val="2"/>
      </rPr>
      <t>)}</t>
    </r>
    <r>
      <rPr>
        <vertAlign val="superscript"/>
        <sz val="10"/>
        <rFont val="Calibri"/>
        <family val="2"/>
      </rPr>
      <t>0.5</t>
    </r>
    <phoneticPr fontId="23" type="noConversion"/>
  </si>
  <si>
    <r>
      <t>SE(k</t>
    </r>
    <r>
      <rPr>
        <vertAlign val="subscript"/>
        <sz val="10"/>
        <rFont val="Calibri"/>
        <family val="2"/>
      </rPr>
      <t>GB</t>
    </r>
    <r>
      <rPr>
        <sz val="10"/>
        <rFont val="Calibri"/>
        <family val="2"/>
      </rPr>
      <t>) = {[(ək</t>
    </r>
    <r>
      <rPr>
        <vertAlign val="subscript"/>
        <sz val="10"/>
        <rFont val="Calibri"/>
        <family val="2"/>
      </rPr>
      <t>GB</t>
    </r>
    <r>
      <rPr>
        <sz val="10"/>
        <rFont val="Calibri"/>
        <family val="2"/>
      </rPr>
      <t>/əE</t>
    </r>
    <r>
      <rPr>
        <vertAlign val="subscript"/>
        <sz val="10"/>
        <rFont val="Calibri"/>
        <family val="2"/>
      </rPr>
      <t>D,R</t>
    </r>
    <r>
      <rPr>
        <sz val="10"/>
        <rFont val="Calibri"/>
        <family val="2"/>
      </rPr>
      <t>)·SE(E</t>
    </r>
    <r>
      <rPr>
        <vertAlign val="subscript"/>
        <sz val="10"/>
        <rFont val="Calibri"/>
        <family val="2"/>
      </rPr>
      <t>D,R</t>
    </r>
    <r>
      <rPr>
        <sz val="10"/>
        <rFont val="Calibri"/>
        <family val="2"/>
      </rPr>
      <t>)]</t>
    </r>
    <r>
      <rPr>
        <vertAlign val="superscript"/>
        <sz val="10"/>
        <rFont val="Calibri"/>
        <family val="2"/>
      </rPr>
      <t>2</t>
    </r>
    <r>
      <rPr>
        <sz val="10"/>
        <rFont val="Calibri"/>
        <family val="2"/>
      </rPr>
      <t>}</t>
    </r>
    <r>
      <rPr>
        <vertAlign val="superscript"/>
        <sz val="10"/>
        <rFont val="Calibri"/>
        <family val="2"/>
      </rPr>
      <t>0.5</t>
    </r>
    <phoneticPr fontId="23" type="noConversion"/>
  </si>
  <si>
    <r>
      <t>SE(k</t>
    </r>
    <r>
      <rPr>
        <vertAlign val="subscript"/>
        <sz val="10"/>
        <rFont val="Calibri"/>
        <family val="2"/>
      </rPr>
      <t>BE</t>
    </r>
    <r>
      <rPr>
        <sz val="10"/>
        <rFont val="Calibri"/>
        <family val="2"/>
      </rPr>
      <t>) = {[(ək</t>
    </r>
    <r>
      <rPr>
        <vertAlign val="subscript"/>
        <sz val="10"/>
        <rFont val="Calibri"/>
        <family val="2"/>
      </rPr>
      <t>BE</t>
    </r>
    <r>
      <rPr>
        <sz val="10"/>
        <rFont val="Calibri"/>
        <family val="2"/>
      </rPr>
      <t>/əC</t>
    </r>
    <r>
      <rPr>
        <vertAlign val="subscript"/>
        <sz val="10"/>
        <rFont val="Calibri"/>
        <family val="2"/>
      </rPr>
      <t>D</t>
    </r>
    <r>
      <rPr>
        <sz val="10"/>
        <rFont val="Calibri"/>
        <family val="2"/>
      </rPr>
      <t>)·SE(C</t>
    </r>
    <r>
      <rPr>
        <vertAlign val="subscript"/>
        <sz val="10"/>
        <rFont val="Calibri"/>
        <family val="2"/>
      </rPr>
      <t>D</t>
    </r>
    <r>
      <rPr>
        <sz val="10"/>
        <rFont val="Calibri"/>
        <family val="2"/>
      </rPr>
      <t>)]</t>
    </r>
    <r>
      <rPr>
        <vertAlign val="superscript"/>
        <sz val="10"/>
        <rFont val="Calibri"/>
        <family val="2"/>
      </rPr>
      <t>2</t>
    </r>
    <r>
      <rPr>
        <sz val="10"/>
        <rFont val="Calibri"/>
        <family val="2"/>
      </rPr>
      <t>+[(ək</t>
    </r>
    <r>
      <rPr>
        <vertAlign val="subscript"/>
        <sz val="10"/>
        <rFont val="Calibri"/>
        <family val="2"/>
      </rPr>
      <t>BE</t>
    </r>
    <r>
      <rPr>
        <sz val="10"/>
        <rFont val="Calibri"/>
        <family val="2"/>
      </rPr>
      <t>/əF</t>
    </r>
    <r>
      <rPr>
        <vertAlign val="subscript"/>
        <sz val="10"/>
        <rFont val="Calibri"/>
        <family val="2"/>
      </rPr>
      <t>D</t>
    </r>
    <r>
      <rPr>
        <sz val="10"/>
        <rFont val="Calibri"/>
        <family val="2"/>
      </rPr>
      <t>)·SE(F</t>
    </r>
    <r>
      <rPr>
        <vertAlign val="subscript"/>
        <sz val="10"/>
        <rFont val="Calibri"/>
        <family val="2"/>
      </rPr>
      <t>D</t>
    </r>
    <r>
      <rPr>
        <sz val="10"/>
        <rFont val="Calibri"/>
        <family val="2"/>
      </rPr>
      <t>)]</t>
    </r>
    <r>
      <rPr>
        <vertAlign val="superscript"/>
        <sz val="10"/>
        <rFont val="Calibri"/>
        <family val="2"/>
      </rPr>
      <t>2</t>
    </r>
    <r>
      <rPr>
        <sz val="10"/>
        <rFont val="Calibri"/>
        <family val="2"/>
      </rPr>
      <t>+[(ək</t>
    </r>
    <r>
      <rPr>
        <vertAlign val="subscript"/>
        <sz val="10"/>
        <rFont val="Calibri"/>
        <family val="2"/>
      </rPr>
      <t>BE</t>
    </r>
    <r>
      <rPr>
        <sz val="10"/>
        <rFont val="Calibri"/>
        <family val="2"/>
      </rPr>
      <t>/əb</t>
    </r>
    <r>
      <rPr>
        <vertAlign val="subscript"/>
        <sz val="10"/>
        <rFont val="Calibri"/>
        <family val="2"/>
      </rPr>
      <t>0</t>
    </r>
    <r>
      <rPr>
        <sz val="10"/>
        <rFont val="Calibri"/>
        <family val="2"/>
      </rPr>
      <t>)·SE(b</t>
    </r>
    <r>
      <rPr>
        <vertAlign val="subscript"/>
        <sz val="10"/>
        <rFont val="Calibri"/>
        <family val="2"/>
      </rPr>
      <t>0</t>
    </r>
    <r>
      <rPr>
        <sz val="10"/>
        <rFont val="Calibri"/>
        <family val="2"/>
      </rPr>
      <t>)]</t>
    </r>
    <r>
      <rPr>
        <vertAlign val="superscript"/>
        <sz val="10"/>
        <rFont val="Calibri"/>
        <family val="2"/>
      </rPr>
      <t>2</t>
    </r>
    <r>
      <rPr>
        <sz val="10"/>
        <rFont val="Calibri"/>
        <family val="2"/>
      </rPr>
      <t>+[(ək</t>
    </r>
    <r>
      <rPr>
        <vertAlign val="subscript"/>
        <sz val="10"/>
        <rFont val="Calibri"/>
        <family val="2"/>
      </rPr>
      <t>BE</t>
    </r>
    <r>
      <rPr>
        <sz val="10"/>
        <rFont val="Calibri"/>
        <family val="2"/>
      </rPr>
      <t>/əb</t>
    </r>
    <r>
      <rPr>
        <vertAlign val="subscript"/>
        <sz val="10"/>
        <rFont val="Calibri"/>
        <family val="2"/>
      </rPr>
      <t>1</t>
    </r>
    <r>
      <rPr>
        <sz val="10"/>
        <rFont val="Calibri"/>
        <family val="2"/>
      </rPr>
      <t>)·SE(b</t>
    </r>
    <r>
      <rPr>
        <vertAlign val="subscript"/>
        <sz val="10"/>
        <rFont val="Calibri"/>
        <family val="2"/>
      </rPr>
      <t>1</t>
    </r>
    <r>
      <rPr>
        <sz val="10"/>
        <rFont val="Calibri"/>
        <family val="2"/>
      </rPr>
      <t>)]</t>
    </r>
    <r>
      <rPr>
        <vertAlign val="superscript"/>
        <sz val="10"/>
        <rFont val="Calibri"/>
        <family val="2"/>
      </rPr>
      <t>2</t>
    </r>
    <r>
      <rPr>
        <sz val="10"/>
        <rFont val="Calibri"/>
        <family val="2"/>
      </rPr>
      <t>+2·(ək</t>
    </r>
    <r>
      <rPr>
        <vertAlign val="subscript"/>
        <sz val="10"/>
        <rFont val="Calibri"/>
        <family val="2"/>
      </rPr>
      <t>BE</t>
    </r>
    <r>
      <rPr>
        <sz val="10"/>
        <rFont val="Calibri"/>
        <family val="2"/>
      </rPr>
      <t>/əb</t>
    </r>
    <r>
      <rPr>
        <vertAlign val="subscript"/>
        <sz val="10"/>
        <rFont val="Calibri"/>
        <family val="2"/>
      </rPr>
      <t>0</t>
    </r>
    <r>
      <rPr>
        <sz val="10"/>
        <rFont val="Calibri"/>
        <family val="2"/>
      </rPr>
      <t>)·(ək</t>
    </r>
    <r>
      <rPr>
        <vertAlign val="subscript"/>
        <sz val="10"/>
        <rFont val="Calibri"/>
        <family val="2"/>
      </rPr>
      <t>BE</t>
    </r>
    <r>
      <rPr>
        <sz val="10"/>
        <rFont val="Calibri"/>
        <family val="2"/>
      </rPr>
      <t>/əb</t>
    </r>
    <r>
      <rPr>
        <vertAlign val="subscript"/>
        <sz val="10"/>
        <rFont val="Calibri"/>
        <family val="2"/>
      </rPr>
      <t>1</t>
    </r>
    <r>
      <rPr>
        <sz val="10"/>
        <rFont val="Calibri"/>
        <family val="2"/>
      </rPr>
      <t>)·Cov(b</t>
    </r>
    <r>
      <rPr>
        <vertAlign val="subscript"/>
        <sz val="10"/>
        <rFont val="Calibri"/>
        <family val="2"/>
      </rPr>
      <t>0</t>
    </r>
    <r>
      <rPr>
        <sz val="10"/>
        <rFont val="Calibri"/>
        <family val="2"/>
      </rPr>
      <t>,b</t>
    </r>
    <r>
      <rPr>
        <vertAlign val="subscript"/>
        <sz val="10"/>
        <rFont val="Calibri"/>
        <family val="2"/>
      </rPr>
      <t>1</t>
    </r>
    <r>
      <rPr>
        <sz val="10"/>
        <rFont val="Calibri"/>
        <family val="2"/>
      </rPr>
      <t>)+[(ək</t>
    </r>
    <r>
      <rPr>
        <vertAlign val="subscript"/>
        <sz val="10"/>
        <rFont val="Calibri"/>
        <family val="2"/>
      </rPr>
      <t>BE</t>
    </r>
    <r>
      <rPr>
        <sz val="10"/>
        <rFont val="Calibri"/>
        <family val="2"/>
      </rPr>
      <t>/əE</t>
    </r>
    <r>
      <rPr>
        <vertAlign val="subscript"/>
        <sz val="10"/>
        <rFont val="Calibri"/>
        <family val="2"/>
      </rPr>
      <t>D,R</t>
    </r>
    <r>
      <rPr>
        <sz val="10"/>
        <rFont val="Calibri"/>
        <family val="2"/>
      </rPr>
      <t>)·SE(E</t>
    </r>
    <r>
      <rPr>
        <vertAlign val="subscript"/>
        <sz val="10"/>
        <rFont val="Calibri"/>
        <family val="2"/>
      </rPr>
      <t>D,R</t>
    </r>
    <r>
      <rPr>
        <sz val="10"/>
        <rFont val="Calibri"/>
        <family val="2"/>
      </rPr>
      <t>)]</t>
    </r>
    <r>
      <rPr>
        <vertAlign val="superscript"/>
        <sz val="10"/>
        <rFont val="Calibri"/>
        <family val="2"/>
      </rPr>
      <t>2</t>
    </r>
    <r>
      <rPr>
        <sz val="10"/>
        <rFont val="Calibri"/>
        <family val="2"/>
      </rPr>
      <t>}</t>
    </r>
    <r>
      <rPr>
        <vertAlign val="superscript"/>
        <sz val="10"/>
        <rFont val="Calibri"/>
        <family val="2"/>
      </rPr>
      <t>0.5</t>
    </r>
    <phoneticPr fontId="23" type="noConversion"/>
  </si>
  <si>
    <r>
      <t>SE(k</t>
    </r>
    <r>
      <rPr>
        <vertAlign val="subscript"/>
        <sz val="10"/>
        <rFont val="Calibri"/>
        <family val="2"/>
      </rPr>
      <t>GM</t>
    </r>
    <r>
      <rPr>
        <sz val="10"/>
        <rFont val="Calibri"/>
        <family val="2"/>
      </rPr>
      <t>) = {[(ək</t>
    </r>
    <r>
      <rPr>
        <vertAlign val="subscript"/>
        <sz val="10"/>
        <rFont val="Calibri"/>
        <family val="2"/>
      </rPr>
      <t>GM</t>
    </r>
    <r>
      <rPr>
        <sz val="10"/>
        <rFont val="Calibri"/>
        <family val="2"/>
      </rPr>
      <t>/əE</t>
    </r>
    <r>
      <rPr>
        <vertAlign val="subscript"/>
        <sz val="10"/>
        <rFont val="Calibri"/>
        <family val="2"/>
      </rPr>
      <t>D</t>
    </r>
    <r>
      <rPr>
        <sz val="10"/>
        <rFont val="Calibri"/>
        <family val="2"/>
      </rPr>
      <t>)·SE(E</t>
    </r>
    <r>
      <rPr>
        <vertAlign val="subscript"/>
        <sz val="10"/>
        <rFont val="Calibri"/>
        <family val="2"/>
      </rPr>
      <t>D</t>
    </r>
    <r>
      <rPr>
        <sz val="10"/>
        <rFont val="Calibri"/>
        <family val="2"/>
      </rPr>
      <t>)]</t>
    </r>
    <r>
      <rPr>
        <vertAlign val="superscript"/>
        <sz val="10"/>
        <rFont val="Calibri"/>
        <family val="2"/>
      </rPr>
      <t>2</t>
    </r>
    <r>
      <rPr>
        <sz val="10"/>
        <rFont val="Calibri"/>
        <family val="2"/>
      </rPr>
      <t>+[(ək</t>
    </r>
    <r>
      <rPr>
        <vertAlign val="subscript"/>
        <sz val="10"/>
        <rFont val="Calibri"/>
        <family val="2"/>
      </rPr>
      <t>GM</t>
    </r>
    <r>
      <rPr>
        <sz val="10"/>
        <rFont val="Calibri"/>
        <family val="2"/>
      </rPr>
      <t>/əE</t>
    </r>
    <r>
      <rPr>
        <vertAlign val="subscript"/>
        <sz val="10"/>
        <rFont val="Calibri"/>
        <family val="2"/>
      </rPr>
      <t>D,R</t>
    </r>
    <r>
      <rPr>
        <sz val="10"/>
        <rFont val="Calibri"/>
        <family val="2"/>
      </rPr>
      <t>)·SE(E</t>
    </r>
    <r>
      <rPr>
        <vertAlign val="subscript"/>
        <sz val="10"/>
        <rFont val="Calibri"/>
        <family val="2"/>
      </rPr>
      <t>D,R</t>
    </r>
    <r>
      <rPr>
        <sz val="10"/>
        <rFont val="Calibri"/>
        <family val="2"/>
      </rPr>
      <t>)]</t>
    </r>
    <r>
      <rPr>
        <vertAlign val="superscript"/>
        <sz val="10"/>
        <rFont val="Calibri"/>
        <family val="2"/>
      </rPr>
      <t>2</t>
    </r>
    <r>
      <rPr>
        <sz val="10"/>
        <rFont val="Calibri"/>
        <family val="2"/>
      </rPr>
      <t>}</t>
    </r>
    <r>
      <rPr>
        <vertAlign val="superscript"/>
        <sz val="10"/>
        <rFont val="Calibri"/>
        <family val="2"/>
      </rPr>
      <t>0.5</t>
    </r>
    <phoneticPr fontId="23" type="noConversion"/>
  </si>
  <si>
    <r>
      <t>If reference chemicals used="No", k</t>
    </r>
    <r>
      <rPr>
        <vertAlign val="subscript"/>
        <sz val="10"/>
        <rFont val="Calibri"/>
        <family val="2"/>
      </rPr>
      <t>BT,R</t>
    </r>
    <r>
      <rPr>
        <sz val="10"/>
        <rFont val="Calibri"/>
        <family val="2"/>
      </rPr>
      <t xml:space="preserve"> = k</t>
    </r>
    <r>
      <rPr>
        <vertAlign val="subscript"/>
        <sz val="10"/>
        <rFont val="Calibri"/>
        <family val="2"/>
      </rPr>
      <t>B2</t>
    </r>
    <r>
      <rPr>
        <sz val="10"/>
        <rFont val="Calibri"/>
        <family val="2"/>
      </rPr>
      <t>+k</t>
    </r>
    <r>
      <rPr>
        <vertAlign val="subscript"/>
        <sz val="10"/>
        <rFont val="Calibri"/>
        <family val="2"/>
      </rPr>
      <t>BG</t>
    </r>
    <r>
      <rPr>
        <sz val="10"/>
        <rFont val="Calibri"/>
        <family val="2"/>
      </rPr>
      <t>(1-E</t>
    </r>
    <r>
      <rPr>
        <vertAlign val="subscript"/>
        <sz val="10"/>
        <rFont val="Calibri"/>
        <family val="2"/>
      </rPr>
      <t>D</t>
    </r>
    <r>
      <rPr>
        <sz val="10"/>
        <rFont val="Calibri"/>
        <family val="2"/>
      </rPr>
      <t>)+k</t>
    </r>
    <r>
      <rPr>
        <vertAlign val="subscript"/>
        <sz val="10"/>
        <rFont val="Calibri"/>
        <family val="2"/>
      </rPr>
      <t>GD</t>
    </r>
    <phoneticPr fontId="23" type="noConversion"/>
  </si>
  <si>
    <r>
      <t>k</t>
    </r>
    <r>
      <rPr>
        <vertAlign val="subscript"/>
        <sz val="10"/>
        <rFont val="Calibri"/>
        <family val="2"/>
      </rPr>
      <t xml:space="preserve">D </t>
    </r>
    <r>
      <rPr>
        <sz val="10"/>
        <rFont val="Calibri"/>
        <family val="2"/>
      </rPr>
      <t>= E</t>
    </r>
    <r>
      <rPr>
        <vertAlign val="subscript"/>
        <sz val="10"/>
        <rFont val="Calibri"/>
        <family val="2"/>
      </rPr>
      <t>D</t>
    </r>
    <r>
      <rPr>
        <sz val="10"/>
        <rFont val="Calibri"/>
        <family val="2"/>
      </rPr>
      <t>·F</t>
    </r>
    <r>
      <rPr>
        <vertAlign val="subscript"/>
        <sz val="10"/>
        <rFont val="Calibri"/>
        <family val="2"/>
      </rPr>
      <t>D</t>
    </r>
    <phoneticPr fontId="23" type="noConversion"/>
  </si>
  <si>
    <r>
      <t>ək</t>
    </r>
    <r>
      <rPr>
        <vertAlign val="subscript"/>
        <sz val="10"/>
        <rFont val="Calibri"/>
        <family val="2"/>
      </rPr>
      <t>BE</t>
    </r>
    <r>
      <rPr>
        <sz val="10"/>
        <rFont val="Calibri"/>
        <family val="2"/>
      </rPr>
      <t>/əC</t>
    </r>
    <r>
      <rPr>
        <vertAlign val="subscript"/>
        <sz val="10"/>
        <rFont val="Calibri"/>
        <family val="2"/>
      </rPr>
      <t>D</t>
    </r>
    <r>
      <rPr>
        <sz val="10"/>
        <rFont val="Calibri"/>
        <family val="2"/>
      </rPr>
      <t xml:space="preserve"> = -e</t>
    </r>
    <r>
      <rPr>
        <vertAlign val="superscript"/>
        <sz val="10"/>
        <rFont val="Calibri"/>
        <family val="2"/>
      </rPr>
      <t>b0</t>
    </r>
    <r>
      <rPr>
        <sz val="10"/>
        <rFont val="Calibri"/>
        <family val="2"/>
      </rPr>
      <t>·b</t>
    </r>
    <r>
      <rPr>
        <vertAlign val="subscript"/>
        <sz val="10"/>
        <rFont val="Calibri"/>
        <family val="2"/>
      </rPr>
      <t>1</t>
    </r>
    <r>
      <rPr>
        <sz val="10"/>
        <rFont val="Calibri"/>
        <family val="2"/>
      </rPr>
      <t>/[C</t>
    </r>
    <r>
      <rPr>
        <vertAlign val="subscript"/>
        <sz val="10"/>
        <rFont val="Calibri"/>
        <family val="2"/>
      </rPr>
      <t>D</t>
    </r>
    <r>
      <rPr>
        <vertAlign val="superscript"/>
        <sz val="10"/>
        <rFont val="Calibri"/>
        <family val="2"/>
      </rPr>
      <t>2</t>
    </r>
    <r>
      <rPr>
        <sz val="10"/>
        <rFont val="Calibri"/>
        <family val="2"/>
      </rPr>
      <t>·(1-e</t>
    </r>
    <r>
      <rPr>
        <vertAlign val="superscript"/>
        <sz val="10"/>
        <rFont val="Calibri"/>
        <family val="2"/>
      </rPr>
      <t>b1·tu</t>
    </r>
    <r>
      <rPr>
        <sz val="10"/>
        <rFont val="Calibri"/>
        <family val="2"/>
      </rPr>
      <t>)]·[E</t>
    </r>
    <r>
      <rPr>
        <vertAlign val="subscript"/>
        <sz val="10"/>
        <rFont val="Calibri"/>
        <family val="2"/>
      </rPr>
      <t>D,R</t>
    </r>
    <r>
      <rPr>
        <sz val="10"/>
        <rFont val="Calibri"/>
        <family val="2"/>
      </rPr>
      <t>/(1-E</t>
    </r>
    <r>
      <rPr>
        <vertAlign val="subscript"/>
        <sz val="10"/>
        <rFont val="Calibri"/>
        <family val="2"/>
      </rPr>
      <t>D,R</t>
    </r>
    <r>
      <rPr>
        <sz val="10"/>
        <rFont val="Calibri"/>
        <family val="2"/>
      </rPr>
      <t>)]·K</t>
    </r>
    <r>
      <rPr>
        <vertAlign val="subscript"/>
        <sz val="10"/>
        <rFont val="Calibri"/>
        <family val="2"/>
      </rPr>
      <t>GB</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]·(d</t>
    </r>
    <r>
      <rPr>
        <vertAlign val="subscript"/>
        <sz val="10"/>
        <rFont val="Calibri"/>
        <family val="2"/>
      </rPr>
      <t>B</t>
    </r>
    <r>
      <rPr>
        <sz val="10"/>
        <rFont val="Calibri"/>
        <family val="2"/>
      </rPr>
      <t>/d</t>
    </r>
    <r>
      <rPr>
        <vertAlign val="subscript"/>
        <sz val="10"/>
        <rFont val="Calibri"/>
        <family val="2"/>
      </rPr>
      <t>G</t>
    </r>
    <r>
      <rPr>
        <sz val="10"/>
        <rFont val="Calibri"/>
        <family val="2"/>
      </rPr>
      <t>)</t>
    </r>
  </si>
  <si>
    <r>
      <t>ək</t>
    </r>
    <r>
      <rPr>
        <vertAlign val="subscript"/>
        <sz val="10"/>
        <rFont val="Calibri"/>
        <family val="2"/>
      </rPr>
      <t>BE</t>
    </r>
    <r>
      <rPr>
        <sz val="10"/>
        <rFont val="Calibri"/>
        <family val="2"/>
      </rPr>
      <t>/əb</t>
    </r>
    <r>
      <rPr>
        <vertAlign val="subscript"/>
        <sz val="10"/>
        <rFont val="Calibri"/>
        <family val="2"/>
      </rPr>
      <t>0</t>
    </r>
    <r>
      <rPr>
        <sz val="10"/>
        <rFont val="Calibri"/>
        <family val="2"/>
      </rPr>
      <t xml:space="preserve"> = e</t>
    </r>
    <r>
      <rPr>
        <vertAlign val="superscript"/>
        <sz val="10"/>
        <rFont val="Calibri"/>
        <family val="2"/>
      </rPr>
      <t>b0</t>
    </r>
    <r>
      <rPr>
        <sz val="10"/>
        <rFont val="Calibri"/>
        <family val="2"/>
      </rPr>
      <t>·b</t>
    </r>
    <r>
      <rPr>
        <vertAlign val="subscript"/>
        <sz val="10"/>
        <rFont val="Calibri"/>
        <family val="2"/>
      </rPr>
      <t>1</t>
    </r>
    <r>
      <rPr>
        <sz val="10"/>
        <rFont val="Calibri"/>
        <family val="2"/>
      </rPr>
      <t>/[C</t>
    </r>
    <r>
      <rPr>
        <vertAlign val="subscript"/>
        <sz val="10"/>
        <rFont val="Calibri"/>
        <family val="2"/>
      </rPr>
      <t>D</t>
    </r>
    <r>
      <rPr>
        <sz val="10"/>
        <rFont val="Calibri"/>
        <family val="2"/>
      </rPr>
      <t>·(1-e</t>
    </r>
    <r>
      <rPr>
        <vertAlign val="superscript"/>
        <sz val="10"/>
        <rFont val="Calibri"/>
        <family val="2"/>
      </rPr>
      <t>b1·tu</t>
    </r>
    <r>
      <rPr>
        <sz val="10"/>
        <rFont val="Calibri"/>
        <family val="2"/>
      </rPr>
      <t>)]·[E</t>
    </r>
    <r>
      <rPr>
        <vertAlign val="subscript"/>
        <sz val="10"/>
        <rFont val="Calibri"/>
        <family val="2"/>
      </rPr>
      <t>D,R</t>
    </r>
    <r>
      <rPr>
        <sz val="10"/>
        <rFont val="Calibri"/>
        <family val="2"/>
      </rPr>
      <t>/(1-E</t>
    </r>
    <r>
      <rPr>
        <vertAlign val="subscript"/>
        <sz val="10"/>
        <rFont val="Calibri"/>
        <family val="2"/>
      </rPr>
      <t>D,R</t>
    </r>
    <r>
      <rPr>
        <sz val="10"/>
        <rFont val="Calibri"/>
        <family val="2"/>
      </rPr>
      <t>)]·K</t>
    </r>
    <r>
      <rPr>
        <vertAlign val="subscript"/>
        <sz val="10"/>
        <rFont val="Calibri"/>
        <family val="2"/>
      </rPr>
      <t>GB</t>
    </r>
    <r>
      <rPr>
        <sz val="10"/>
        <rFont val="Calibri"/>
        <family val="2"/>
      </rPr>
      <t>·[(1-ε</t>
    </r>
    <r>
      <rPr>
        <vertAlign val="subscript"/>
        <sz val="10"/>
        <rFont val="Calibri"/>
        <family val="2"/>
      </rPr>
      <t>L</t>
    </r>
    <r>
      <rPr>
        <sz val="10"/>
        <rFont val="Calibri"/>
        <family val="2"/>
      </rPr>
      <t>)·ɸ</t>
    </r>
    <r>
      <rPr>
        <vertAlign val="subscript"/>
        <sz val="10"/>
        <rFont val="Calibri"/>
        <family val="2"/>
      </rPr>
      <t>DL</t>
    </r>
    <r>
      <rPr>
        <sz val="10"/>
        <rFont val="Calibri"/>
        <family val="2"/>
      </rPr>
      <t>+(1-ε</t>
    </r>
    <r>
      <rPr>
        <vertAlign val="subscript"/>
        <sz val="10"/>
        <rFont val="Calibri"/>
        <family val="2"/>
      </rPr>
      <t>P</t>
    </r>
    <r>
      <rPr>
        <sz val="10"/>
        <rFont val="Calibri"/>
        <family val="2"/>
      </rPr>
      <t>)·ɸ</t>
    </r>
    <r>
      <rPr>
        <vertAlign val="subscript"/>
        <sz val="10"/>
        <rFont val="Calibri"/>
        <family val="2"/>
      </rPr>
      <t>DP</t>
    </r>
    <r>
      <rPr>
        <sz val="10"/>
        <rFont val="Calibri"/>
        <family val="2"/>
      </rPr>
      <t>+(1-ε</t>
    </r>
    <r>
      <rPr>
        <vertAlign val="subscript"/>
        <sz val="10"/>
        <rFont val="Calibri"/>
        <family val="2"/>
      </rPr>
      <t>N</t>
    </r>
    <r>
      <rPr>
        <sz val="10"/>
        <rFont val="Calibri"/>
        <family val="2"/>
      </rPr>
      <t>)·ɸ</t>
    </r>
    <r>
      <rPr>
        <vertAlign val="subscript"/>
        <sz val="10"/>
        <rFont val="Calibri"/>
        <family val="2"/>
      </rPr>
      <t>DN</t>
    </r>
    <r>
      <rPr>
        <sz val="10"/>
        <rFont val="Calibri"/>
        <family val="2"/>
      </rPr>
      <t>+(1-ε</t>
    </r>
    <r>
      <rPr>
        <vertAlign val="subscript"/>
        <sz val="10"/>
        <rFont val="Calibri"/>
        <family val="2"/>
      </rPr>
      <t>W</t>
    </r>
    <r>
      <rPr>
        <sz val="10"/>
        <rFont val="Calibri"/>
        <family val="2"/>
      </rPr>
      <t>)·ɸ</t>
    </r>
    <r>
      <rPr>
        <vertAlign val="subscript"/>
        <sz val="10"/>
        <rFont val="Calibri"/>
        <family val="2"/>
      </rPr>
      <t>DW</t>
    </r>
    <r>
      <rPr>
        <sz val="10"/>
        <rFont val="Calibri"/>
        <family val="2"/>
      </rPr>
      <t>]·(d</t>
    </r>
    <r>
      <rPr>
        <vertAlign val="subscript"/>
        <sz val="10"/>
        <rFont val="Calibri"/>
        <family val="2"/>
      </rPr>
      <t>B</t>
    </r>
    <r>
      <rPr>
        <sz val="10"/>
        <rFont val="Calibri"/>
        <family val="2"/>
      </rPr>
      <t>/d</t>
    </r>
    <r>
      <rPr>
        <vertAlign val="subscript"/>
        <sz val="10"/>
        <rFont val="Calibri"/>
        <family val="2"/>
      </rPr>
      <t>G</t>
    </r>
    <r>
      <rPr>
        <sz val="10"/>
        <rFont val="Calibri"/>
        <family val="2"/>
      </rPr>
      <t>)</t>
    </r>
  </si>
  <si>
    <t>Several sources and data bases are available for obtaining log Kow.</t>
  </si>
  <si>
    <t>Several sources and data bases are available for obtaining the aqueous solubility.</t>
  </si>
  <si>
    <t>Refer to the test conditions to obtain the weight of the fish body.</t>
  </si>
  <si>
    <t>Refer to the test conditions to obtain the concentration of the test chemical in the diet.</t>
  </si>
  <si>
    <r>
      <t>Most tests use feeding rates between 0.01 and 0.03 kg food kg fish ww</t>
    </r>
    <r>
      <rPr>
        <vertAlign val="superscript"/>
        <sz val="10"/>
        <rFont val="Calibri"/>
        <family val="2"/>
      </rPr>
      <t>-1</t>
    </r>
    <r>
      <rPr>
        <sz val="10"/>
        <rFont val="Calibri"/>
        <family val="2"/>
      </rPr>
      <t xml:space="preserve"> d</t>
    </r>
    <r>
      <rPr>
        <vertAlign val="superscript"/>
        <sz val="10"/>
        <rFont val="Calibri"/>
        <family val="2"/>
      </rPr>
      <t>-1</t>
    </r>
  </si>
  <si>
    <t>Refer to the test conditions.</t>
  </si>
  <si>
    <t>Lipid contents of the fish body of small fish often used in tests vary between 0.01 to 0.07 kg lipid/kg fish ww</t>
  </si>
  <si>
    <t>Protein contents can sometimes be obtained from nutritional data bases</t>
  </si>
  <si>
    <t xml:space="preserve">Refer to the test conditions. High lipid content diets are often favored in tests to make it easier to detect to biomagnification. </t>
  </si>
  <si>
    <t xml:space="preserve">Refer to the test conditions. </t>
  </si>
  <si>
    <t>In absence of measurements, use the dry weight feeding rate.</t>
  </si>
  <si>
    <t>Guidance</t>
  </si>
  <si>
    <t>Concentration of organic carbon in natural environments tends to range between 1 and 4 x 10-6 kg/L.</t>
  </si>
  <si>
    <t>Used reference chemicals? Answer yes or no</t>
    <phoneticPr fontId="23" type="noConversion"/>
  </si>
  <si>
    <t>Protein content of fish body</t>
    <phoneticPr fontId="23" type="noConversion"/>
  </si>
  <si>
    <t>Sorptive capacity of test chemical to protein relative to octanol</t>
    <phoneticPr fontId="23" type="noConversion"/>
  </si>
  <si>
    <t>Sorptive capacity of test chemical to nondigestible organic matter relative to octanol</t>
    <phoneticPr fontId="23" type="noConversion"/>
  </si>
  <si>
    <t>Concentration of organic carbon in water</t>
    <phoneticPr fontId="23" type="noConversion"/>
  </si>
  <si>
    <t>Density of nondigestible organic matter</t>
    <phoneticPr fontId="23" type="noConversion"/>
  </si>
  <si>
    <t>Number of observations</t>
    <phoneticPr fontId="23" type="noConversion"/>
  </si>
  <si>
    <t>Rate constant for chemical transfer from fish body to GI contents</t>
  </si>
  <si>
    <t>Rate constant for chemical transfer from GI contents to fish body</t>
  </si>
  <si>
    <t>Rate constant for biotransformation in the GI contents</t>
  </si>
  <si>
    <t>Bioconcentration factor (wet weight, total, 5% lipid content)</t>
    <phoneticPr fontId="23" type="noConversion"/>
  </si>
  <si>
    <t>Dissolved concentration of chemical in water</t>
    <phoneticPr fontId="23" type="noConversion"/>
  </si>
  <si>
    <t>Concentration of chemical in GI contents at steady state</t>
  </si>
  <si>
    <t xml:space="preserve">Lipid-equivalent concentration in fish body </t>
    <phoneticPr fontId="23" type="noConversion"/>
  </si>
  <si>
    <t>Mass of chemical in GI contents</t>
  </si>
  <si>
    <t>Fraction of dissolved chemical concentration in water</t>
    <phoneticPr fontId="23" type="noConversion"/>
  </si>
  <si>
    <t>Water content of fish body</t>
    <phoneticPr fontId="23" type="noConversion"/>
  </si>
  <si>
    <t>Nondigestible matter content of diet</t>
    <phoneticPr fontId="23" type="noConversion"/>
  </si>
  <si>
    <t>GI contents-fish body partition coefficient</t>
  </si>
  <si>
    <t>Fraction of lipid of GI contents</t>
  </si>
  <si>
    <t>Fraction of protein of GI contents</t>
  </si>
  <si>
    <t>Fraction of nondigestible organic matter of GI contents</t>
  </si>
  <si>
    <t>Fraction of water of GI contents</t>
  </si>
  <si>
    <r>
      <t>Concentration of chemical in GI contents (C</t>
    </r>
    <r>
      <rPr>
        <vertAlign val="subscript"/>
        <sz val="10"/>
        <color theme="1"/>
        <rFont val="Calibri"/>
        <family val="2"/>
      </rPr>
      <t>G</t>
    </r>
    <r>
      <rPr>
        <sz val="10"/>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</si>
</sst>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000"/>
    <numFmt numFmtId="166" formatCode="0.00000"/>
    <numFmt numFmtId="167" formatCode="0.00_ "/>
    <numFmt numFmtId="168" formatCode="0.0"/>
    <numFmt numFmtId="169" formatCode="0.0%"/>
    <numFmt numFmtId="170" formatCode="0.0E+00"/>
    <numFmt numFmtId="171" formatCode="0.E+00"/>
  </numFmts>
  <fonts count="44">
    <font>
      <sz val="10"/>
      <name val="Arial"/>
      <family val="2"/>
    </font>
    <font>
      <sz val="11"/>
      <color theme="1"/>
      <name val="Calibri"/>
      <family val="2"/>
      <scheme val="minor"/>
    </font>
    <font>
      <sz val="11"/>
      <color theme="1"/>
      <name val="Calibri"/>
      <family val="2"/>
      <scheme val="minor"/>
    </font>
    <font>
      <sz val="12"/>
      <color theme="1"/>
      <name val="Calibri"/>
      <family val="2"/>
      <charset val="136"/>
      <scheme val="minor"/>
    </font>
    <font>
      <sz val="12"/>
      <color theme="1"/>
      <name val="Calibri"/>
      <family val="2"/>
      <charset val="136"/>
      <scheme val="minor"/>
    </font>
    <font>
      <sz val="11"/>
      <color theme="1"/>
      <name val="Calibri"/>
      <family val="2"/>
      <scheme val="minor"/>
    </font>
    <font>
      <b/>
      <sz val="10"/>
      <name val="Calibri"/>
      <family val="2"/>
    </font>
    <font>
      <sz val="10"/>
      <name val="Calibri"/>
      <family val="2"/>
    </font>
    <font>
      <b/>
      <u/>
      <sz val="10"/>
      <color indexed="8"/>
      <name val="Calibri"/>
      <family val="2"/>
    </font>
    <font>
      <b/>
      <u/>
      <sz val="10"/>
      <name val="Calibri"/>
      <family val="2"/>
    </font>
    <font>
      <b/>
      <sz val="10"/>
      <color rgb="FFFF0000"/>
      <name val="Calibri"/>
      <family val="2"/>
    </font>
    <font>
      <vertAlign val="subscript"/>
      <sz val="10"/>
      <name val="Calibri"/>
      <family val="2"/>
    </font>
    <font>
      <sz val="10"/>
      <color theme="1"/>
      <name val="Calibri"/>
      <family val="2"/>
    </font>
    <font>
      <sz val="10"/>
      <color theme="0" tint="-0.499984740745262"/>
      <name val="Calibri"/>
      <family val="2"/>
    </font>
    <font>
      <vertAlign val="superscript"/>
      <sz val="10"/>
      <name val="Calibri"/>
      <family val="2"/>
    </font>
    <font>
      <vertAlign val="subscript"/>
      <sz val="10"/>
      <color theme="1"/>
      <name val="Calibri"/>
      <family val="2"/>
    </font>
    <font>
      <sz val="10"/>
      <color rgb="FF0070C0"/>
      <name val="Calibri"/>
      <family val="2"/>
    </font>
    <font>
      <sz val="10"/>
      <color rgb="FFFF0000"/>
      <name val="Calibri"/>
      <family val="2"/>
    </font>
    <font>
      <b/>
      <sz val="10"/>
      <color indexed="81"/>
      <name val="Calibri"/>
      <family val="2"/>
    </font>
    <font>
      <sz val="12"/>
      <color theme="1"/>
      <name val="Calibri"/>
      <family val="2"/>
      <charset val="136"/>
      <scheme val="minor"/>
    </font>
    <font>
      <sz val="10"/>
      <name val="Arial"/>
      <family val="2"/>
    </font>
    <font>
      <sz val="11"/>
      <color theme="1"/>
      <name val="Calibri"/>
      <family val="2"/>
    </font>
    <font>
      <sz val="10"/>
      <color rgb="FF00B050"/>
      <name val="Calibri"/>
      <family val="2"/>
    </font>
    <font>
      <sz val="9"/>
      <name val="細明體"/>
      <family val="3"/>
      <charset val="136"/>
    </font>
    <font>
      <b/>
      <vertAlign val="subscript"/>
      <sz val="10"/>
      <name val="Calibri"/>
      <family val="2"/>
    </font>
    <font>
      <b/>
      <vertAlign val="superscript"/>
      <sz val="10"/>
      <name val="Calibri"/>
      <family val="2"/>
    </font>
    <font>
      <sz val="9"/>
      <color indexed="81"/>
      <name val="Tahoma"/>
      <family val="2"/>
    </font>
    <font>
      <b/>
      <sz val="9"/>
      <color indexed="81"/>
      <name val="Tahoma"/>
      <family val="2"/>
    </font>
    <font>
      <b/>
      <sz val="10"/>
      <color rgb="FF0070C0"/>
      <name val="Calibri"/>
      <family val="2"/>
    </font>
    <font>
      <b/>
      <sz val="10"/>
      <color rgb="FF0000FF"/>
      <name val="Calibri"/>
      <family val="2"/>
    </font>
    <font>
      <b/>
      <sz val="12"/>
      <name val="Calibri"/>
      <family val="2"/>
    </font>
    <font>
      <u/>
      <sz val="10"/>
      <color theme="10"/>
      <name val="Arial"/>
      <family val="2"/>
    </font>
    <font>
      <u/>
      <sz val="10"/>
      <color theme="11"/>
      <name val="Arial"/>
      <family val="2"/>
    </font>
    <font>
      <b/>
      <u/>
      <sz val="10"/>
      <color rgb="FF000000"/>
      <name val="Calibri"/>
      <family val="2"/>
    </font>
    <font>
      <b/>
      <u/>
      <vertAlign val="subscript"/>
      <sz val="10"/>
      <name val="Calibri"/>
      <family val="2"/>
    </font>
    <font>
      <b/>
      <sz val="10"/>
      <color theme="1"/>
      <name val="Calibri"/>
      <family val="2"/>
    </font>
    <font>
      <sz val="10"/>
      <color theme="3"/>
      <name val="Calibri"/>
      <family val="2"/>
    </font>
    <font>
      <b/>
      <sz val="10"/>
      <color theme="3"/>
      <name val="Calibri"/>
      <family val="2"/>
    </font>
    <font>
      <sz val="14"/>
      <name val="Calibri"/>
      <family val="2"/>
    </font>
    <font>
      <b/>
      <sz val="10"/>
      <color rgb="FF000000"/>
      <name val="Calibri"/>
      <family val="2"/>
    </font>
    <font>
      <sz val="10"/>
      <color rgb="FF000000"/>
      <name val="Calibri"/>
      <family val="2"/>
    </font>
    <font>
      <b/>
      <sz val="9"/>
      <color rgb="FF000000"/>
      <name val="Tahoma"/>
      <family val="2"/>
    </font>
    <font>
      <sz val="9"/>
      <color rgb="FF000000"/>
      <name val="Tahoma"/>
      <family val="2"/>
    </font>
    <font>
      <b/>
      <u/>
      <sz val="10"/>
      <color rgb="FFFF0000"/>
      <name val="Calibri"/>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s>
  <cellStyleXfs count="224">
    <xf numFmtId="0" fontId="0" fillId="0" borderId="0"/>
    <xf numFmtId="0" fontId="5" fillId="0" borderId="0"/>
    <xf numFmtId="0" fontId="19" fillId="0" borderId="0">
      <alignment vertical="center"/>
    </xf>
    <xf numFmtId="9" fontId="2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4" fillId="0" borderId="0">
      <alignment vertical="center"/>
    </xf>
    <xf numFmtId="0" fontId="20" fillId="0" borderId="0"/>
    <xf numFmtId="0" fontId="4" fillId="0" borderId="0">
      <alignment vertical="center"/>
    </xf>
    <xf numFmtId="0" fontId="20" fillId="0" borderId="0"/>
    <xf numFmtId="0" fontId="3" fillId="0" borderId="0">
      <alignment vertical="center"/>
    </xf>
    <xf numFmtId="0" fontId="3" fillId="0" borderId="0">
      <alignment vertical="center"/>
    </xf>
    <xf numFmtId="0" fontId="2" fillId="0" borderId="0"/>
    <xf numFmtId="9" fontId="2" fillId="0" borderId="0" applyFont="0" applyFill="0" applyBorder="0" applyAlignment="0" applyProtection="0"/>
  </cellStyleXfs>
  <cellXfs count="158">
    <xf numFmtId="0" fontId="0" fillId="0" borderId="0" xfId="0"/>
    <xf numFmtId="0" fontId="0" fillId="2" borderId="0" xfId="0" applyFill="1" applyBorder="1"/>
    <xf numFmtId="0" fontId="30"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horizontal="left" wrapText="1"/>
      <protection locked="0"/>
    </xf>
    <xf numFmtId="0" fontId="9" fillId="0" borderId="0" xfId="0" applyFont="1" applyFill="1" applyBorder="1" applyAlignment="1" applyProtection="1">
      <alignment horizontal="left"/>
      <protection locked="0"/>
    </xf>
    <xf numFmtId="0" fontId="7" fillId="0" borderId="0" xfId="0" applyFont="1" applyFill="1" applyAlignment="1" applyProtection="1">
      <alignment horizontal="left"/>
      <protection locked="0"/>
    </xf>
    <xf numFmtId="0" fontId="7" fillId="0" borderId="0" xfId="0" applyFont="1" applyFill="1" applyBorder="1" applyProtection="1">
      <protection locked="0"/>
    </xf>
    <xf numFmtId="0" fontId="36" fillId="0" borderId="0" xfId="0" applyFont="1" applyFill="1" applyBorder="1" applyAlignment="1" applyProtection="1">
      <alignment horizontal="left"/>
      <protection locked="0"/>
    </xf>
    <xf numFmtId="0" fontId="9" fillId="0" borderId="0" xfId="0" applyFont="1" applyFill="1" applyBorder="1" applyProtection="1">
      <protection locked="0"/>
    </xf>
    <xf numFmtId="0" fontId="12" fillId="0" borderId="0" xfId="0" applyFont="1" applyFill="1" applyBorder="1" applyAlignment="1" applyProtection="1">
      <alignment horizontal="left"/>
      <protection locked="0"/>
    </xf>
    <xf numFmtId="167" fontId="7" fillId="0" borderId="0" xfId="0" applyNumberFormat="1" applyFont="1" applyFill="1" applyBorder="1" applyAlignment="1" applyProtection="1">
      <alignment horizontal="left" wrapText="1"/>
      <protection locked="0"/>
    </xf>
    <xf numFmtId="0" fontId="7"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10" fillId="0" borderId="0" xfId="0" applyFont="1" applyFill="1" applyAlignment="1" applyProtection="1">
      <alignment horizontal="left"/>
      <protection locked="0"/>
    </xf>
    <xf numFmtId="2" fontId="10" fillId="0" borderId="0" xfId="0" applyNumberFormat="1" applyFont="1" applyFill="1" applyBorder="1" applyAlignment="1" applyProtection="1">
      <alignment horizontal="center"/>
      <protection locked="0"/>
    </xf>
    <xf numFmtId="11" fontId="10" fillId="0" borderId="0" xfId="0" applyNumberFormat="1" applyFont="1" applyFill="1" applyBorder="1" applyAlignment="1" applyProtection="1">
      <alignment horizontal="center"/>
      <protection locked="0"/>
    </xf>
    <xf numFmtId="165" fontId="10" fillId="0" borderId="0" xfId="0" applyNumberFormat="1" applyFont="1" applyFill="1" applyBorder="1" applyAlignment="1" applyProtection="1">
      <alignment horizontal="center"/>
      <protection locked="0"/>
    </xf>
    <xf numFmtId="0" fontId="10" fillId="0" borderId="0" xfId="216" applyFont="1" applyFill="1" applyAlignment="1" applyProtection="1">
      <alignment horizontal="center"/>
      <protection locked="0"/>
    </xf>
    <xf numFmtId="165" fontId="10" fillId="0" borderId="0" xfId="216" applyNumberFormat="1" applyFont="1" applyFill="1" applyAlignment="1" applyProtection="1">
      <alignment horizontal="center"/>
      <protection locked="0"/>
    </xf>
    <xf numFmtId="11" fontId="10" fillId="0" borderId="0" xfId="0" quotePrefix="1" applyNumberFormat="1"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165" fontId="10" fillId="0" borderId="0" xfId="0" quotePrefix="1" applyNumberFormat="1" applyFont="1" applyFill="1" applyBorder="1" applyAlignment="1" applyProtection="1">
      <alignment horizontal="center"/>
      <protection locked="0"/>
    </xf>
    <xf numFmtId="2" fontId="10" fillId="0" borderId="0" xfId="216" applyNumberFormat="1" applyFont="1" applyFill="1" applyAlignment="1" applyProtection="1">
      <alignment horizontal="center"/>
      <protection locked="0"/>
    </xf>
    <xf numFmtId="2" fontId="10" fillId="0" borderId="0" xfId="0" quotePrefix="1" applyNumberFormat="1" applyFont="1" applyFill="1" applyBorder="1" applyAlignment="1" applyProtection="1">
      <alignment horizontal="center"/>
      <protection locked="0"/>
    </xf>
    <xf numFmtId="0" fontId="7" fillId="0" borderId="0" xfId="0" applyFont="1" applyFill="1" applyAlignment="1" applyProtection="1">
      <alignment horizontal="center"/>
      <protection locked="0"/>
    </xf>
    <xf numFmtId="164" fontId="7" fillId="0" borderId="0" xfId="0" quotePrefix="1" applyNumberFormat="1" applyFont="1" applyFill="1" applyBorder="1" applyAlignment="1" applyProtection="1">
      <alignment horizontal="center"/>
      <protection locked="0"/>
    </xf>
    <xf numFmtId="0" fontId="13" fillId="0" borderId="0" xfId="0" applyFont="1" applyFill="1" applyBorder="1" applyProtection="1">
      <protection locked="0"/>
    </xf>
    <xf numFmtId="168" fontId="10" fillId="0" borderId="0" xfId="0" applyNumberFormat="1" applyFont="1" applyFill="1" applyBorder="1" applyAlignment="1" applyProtection="1">
      <alignment horizontal="center"/>
      <protection locked="0"/>
    </xf>
    <xf numFmtId="168" fontId="10" fillId="0" borderId="0" xfId="0" quotePrefix="1" applyNumberFormat="1" applyFont="1" applyFill="1" applyBorder="1" applyAlignment="1" applyProtection="1">
      <alignment horizontal="center"/>
      <protection locked="0"/>
    </xf>
    <xf numFmtId="164" fontId="17" fillId="0" borderId="0" xfId="0" quotePrefix="1" applyNumberFormat="1" applyFont="1" applyFill="1" applyBorder="1" applyAlignment="1" applyProtection="1">
      <alignment horizontal="center"/>
      <protection locked="0"/>
    </xf>
    <xf numFmtId="168" fontId="7" fillId="0" borderId="0" xfId="0" applyNumberFormat="1" applyFont="1" applyFill="1" applyBorder="1" applyAlignment="1" applyProtection="1">
      <alignment horizontal="center"/>
      <protection locked="0"/>
    </xf>
    <xf numFmtId="0" fontId="17" fillId="0" borderId="0" xfId="0" applyFont="1" applyFill="1" applyBorder="1" applyProtection="1">
      <protection locked="0"/>
    </xf>
    <xf numFmtId="165" fontId="10" fillId="0" borderId="0" xfId="216" applyNumberFormat="1" applyFont="1" applyFill="1" applyBorder="1" applyAlignment="1" applyProtection="1">
      <alignment horizontal="center"/>
      <protection locked="0"/>
    </xf>
    <xf numFmtId="11" fontId="10" fillId="0" borderId="0" xfId="0" applyNumberFormat="1" applyFont="1" applyFill="1" applyAlignment="1" applyProtection="1">
      <alignment horizontal="center"/>
      <protection locked="0"/>
    </xf>
    <xf numFmtId="165" fontId="10" fillId="0" borderId="0" xfId="0" applyNumberFormat="1" applyFont="1" applyFill="1" applyAlignment="1" applyProtection="1">
      <alignment horizontal="center"/>
      <protection locked="0"/>
    </xf>
    <xf numFmtId="0" fontId="12" fillId="0" borderId="0" xfId="0" applyFont="1" applyFill="1" applyAlignment="1" applyProtection="1">
      <alignment horizontal="center"/>
      <protection locked="0"/>
    </xf>
    <xf numFmtId="0" fontId="7" fillId="0" borderId="0" xfId="0" applyFont="1" applyFill="1" applyProtection="1">
      <protection locked="0"/>
    </xf>
    <xf numFmtId="0" fontId="9" fillId="0" borderId="0" xfId="0" applyFont="1" applyFill="1" applyAlignment="1" applyProtection="1">
      <alignment horizontal="center" vertical="center" wrapText="1"/>
      <protection locked="0"/>
    </xf>
    <xf numFmtId="0" fontId="9" fillId="0" borderId="0" xfId="0" applyFont="1" applyFill="1" applyAlignment="1" applyProtection="1">
      <alignment horizontal="center" wrapText="1"/>
      <protection locked="0"/>
    </xf>
    <xf numFmtId="0" fontId="9" fillId="0" borderId="0" xfId="0" applyFont="1" applyFill="1" applyAlignment="1" applyProtection="1">
      <alignment horizontal="center" vertical="center"/>
      <protection locked="0"/>
    </xf>
    <xf numFmtId="0" fontId="10" fillId="0" borderId="1" xfId="0" applyFont="1" applyFill="1" applyBorder="1" applyAlignment="1" applyProtection="1">
      <alignment horizontal="center"/>
      <protection locked="0"/>
    </xf>
    <xf numFmtId="11" fontId="10" fillId="0" borderId="2" xfId="0" applyNumberFormat="1" applyFont="1" applyFill="1" applyBorder="1" applyAlignment="1" applyProtection="1">
      <alignment horizontal="center"/>
      <protection locked="0"/>
    </xf>
    <xf numFmtId="165" fontId="7" fillId="0" borderId="0" xfId="0" applyNumberFormat="1" applyFont="1" applyFill="1" applyAlignment="1" applyProtection="1">
      <alignment horizontal="center"/>
      <protection locked="0"/>
    </xf>
    <xf numFmtId="0" fontId="12" fillId="0" borderId="0" xfId="0" applyFont="1" applyFill="1" applyBorder="1" applyProtection="1">
      <protection locked="0"/>
    </xf>
    <xf numFmtId="0" fontId="10" fillId="0" borderId="3" xfId="0" applyFont="1" applyFill="1" applyBorder="1" applyAlignment="1" applyProtection="1">
      <alignment horizontal="center"/>
      <protection locked="0"/>
    </xf>
    <xf numFmtId="11" fontId="10" fillId="0" borderId="4" xfId="0" applyNumberFormat="1" applyFont="1" applyFill="1" applyBorder="1" applyAlignment="1" applyProtection="1">
      <alignment horizontal="center"/>
      <protection locked="0"/>
    </xf>
    <xf numFmtId="0" fontId="9" fillId="0" borderId="0" xfId="0" applyFont="1" applyFill="1" applyAlignment="1" applyProtection="1">
      <alignment horizontal="center"/>
      <protection locked="0"/>
    </xf>
    <xf numFmtId="0" fontId="33" fillId="0" borderId="0" xfId="0" applyFont="1" applyFill="1" applyAlignment="1" applyProtection="1">
      <alignment horizontal="center"/>
      <protection locked="0"/>
    </xf>
    <xf numFmtId="165" fontId="7" fillId="0" borderId="0" xfId="0" applyNumberFormat="1" applyFont="1" applyFill="1" applyBorder="1" applyAlignment="1" applyProtection="1">
      <alignment horizontal="center"/>
      <protection locked="0"/>
    </xf>
    <xf numFmtId="2" fontId="7" fillId="0" borderId="0" xfId="0" applyNumberFormat="1" applyFont="1" applyFill="1" applyBorder="1" applyAlignment="1" applyProtection="1">
      <alignment horizontal="center"/>
      <protection locked="0"/>
    </xf>
    <xf numFmtId="11" fontId="7" fillId="0" borderId="0" xfId="0" applyNumberFormat="1" applyFont="1" applyFill="1" applyBorder="1" applyProtection="1">
      <protection locked="0"/>
    </xf>
    <xf numFmtId="0" fontId="10" fillId="0" borderId="5" xfId="0" applyFont="1" applyFill="1" applyBorder="1" applyAlignment="1" applyProtection="1">
      <alignment horizontal="center"/>
      <protection locked="0"/>
    </xf>
    <xf numFmtId="11" fontId="10" fillId="0" borderId="6" xfId="0" applyNumberFormat="1"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1" fontId="7" fillId="0" borderId="0" xfId="0" applyNumberFormat="1" applyFont="1" applyFill="1" applyBorder="1" applyAlignment="1" applyProtection="1">
      <alignment horizontal="center"/>
      <protection locked="0"/>
    </xf>
    <xf numFmtId="0" fontId="36" fillId="0" borderId="0" xfId="0" applyFont="1" applyFill="1" applyBorder="1" applyAlignment="1" applyProtection="1">
      <alignment horizontal="center"/>
      <protection locked="0"/>
    </xf>
    <xf numFmtId="171" fontId="37" fillId="0" borderId="0" xfId="0" applyNumberFormat="1" applyFont="1" applyFill="1" applyBorder="1" applyAlignment="1" applyProtection="1">
      <alignment horizontal="center"/>
      <protection locked="0"/>
    </xf>
    <xf numFmtId="2" fontId="29" fillId="0" borderId="0" xfId="0" applyNumberFormat="1" applyFont="1" applyFill="1" applyBorder="1" applyAlignment="1" applyProtection="1">
      <alignment horizontal="center"/>
      <protection locked="0"/>
    </xf>
    <xf numFmtId="2" fontId="6" fillId="0" borderId="0" xfId="0" applyNumberFormat="1" applyFont="1" applyFill="1" applyBorder="1" applyAlignment="1" applyProtection="1">
      <alignment horizontal="center"/>
      <protection locked="0"/>
    </xf>
    <xf numFmtId="0" fontId="29" fillId="0"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170" fontId="29" fillId="0" borderId="0" xfId="0" applyNumberFormat="1" applyFont="1" applyFill="1" applyBorder="1" applyAlignment="1" applyProtection="1">
      <alignment horizontal="center"/>
      <protection locked="0"/>
    </xf>
    <xf numFmtId="164" fontId="12" fillId="0" borderId="0" xfId="0" quotePrefix="1" applyNumberFormat="1" applyFont="1" applyFill="1" applyBorder="1" applyAlignment="1" applyProtection="1">
      <alignment horizontal="center"/>
      <protection locked="0"/>
    </xf>
    <xf numFmtId="170" fontId="35" fillId="0" borderId="0" xfId="0" applyNumberFormat="1" applyFont="1" applyFill="1" applyBorder="1" applyAlignment="1" applyProtection="1">
      <alignment horizontal="center"/>
      <protection locked="0"/>
    </xf>
    <xf numFmtId="11" fontId="29" fillId="0" borderId="0" xfId="0" applyNumberFormat="1" applyFont="1" applyFill="1" applyBorder="1" applyAlignment="1" applyProtection="1">
      <alignment horizontal="center"/>
      <protection locked="0"/>
    </xf>
    <xf numFmtId="0" fontId="35" fillId="0" borderId="0" xfId="0" applyFont="1" applyFill="1" applyBorder="1" applyAlignment="1" applyProtection="1">
      <alignment horizontal="center"/>
      <protection locked="0"/>
    </xf>
    <xf numFmtId="165" fontId="29" fillId="0" borderId="0" xfId="2" applyNumberFormat="1" applyFont="1" applyFill="1" applyAlignment="1" applyProtection="1">
      <alignment horizontal="center"/>
      <protection locked="0"/>
    </xf>
    <xf numFmtId="165" fontId="12" fillId="0" borderId="0" xfId="0" applyNumberFormat="1" applyFont="1" applyFill="1" applyAlignment="1" applyProtection="1">
      <alignment horizontal="center"/>
      <protection locked="0"/>
    </xf>
    <xf numFmtId="0" fontId="7" fillId="0" borderId="0" xfId="0" applyFont="1" applyFill="1" applyAlignment="1" applyProtection="1">
      <protection locked="0"/>
    </xf>
    <xf numFmtId="1" fontId="29" fillId="0" borderId="0" xfId="2" applyNumberFormat="1" applyFont="1" applyFill="1" applyAlignment="1" applyProtection="1">
      <alignment horizontal="center"/>
      <protection locked="0"/>
    </xf>
    <xf numFmtId="2" fontId="29" fillId="0" borderId="0" xfId="2" applyNumberFormat="1" applyFont="1" applyFill="1" applyAlignment="1" applyProtection="1">
      <alignment horizontal="center"/>
      <protection locked="0"/>
    </xf>
    <xf numFmtId="0" fontId="7" fillId="0" borderId="0" xfId="0" applyNumberFormat="1" applyFont="1" applyFill="1" applyBorder="1" applyAlignment="1" applyProtection="1">
      <alignment horizontal="center"/>
      <protection locked="0"/>
    </xf>
    <xf numFmtId="2" fontId="7" fillId="0" borderId="0" xfId="0" applyNumberFormat="1" applyFont="1" applyFill="1" applyAlignment="1" applyProtection="1">
      <alignment horizontal="center"/>
      <protection locked="0"/>
    </xf>
    <xf numFmtId="0" fontId="43" fillId="0" borderId="0" xfId="0" applyFont="1" applyFill="1" applyBorder="1" applyAlignment="1" applyProtection="1">
      <alignment horizontal="center"/>
      <protection locked="0"/>
    </xf>
    <xf numFmtId="165" fontId="12" fillId="0" borderId="0" xfId="0" applyNumberFormat="1" applyFont="1" applyFill="1" applyBorder="1" applyAlignment="1" applyProtection="1">
      <alignment horizontal="center"/>
      <protection locked="0"/>
    </xf>
    <xf numFmtId="0" fontId="16" fillId="0" borderId="0" xfId="0" applyFont="1" applyFill="1" applyBorder="1" applyProtection="1">
      <protection locked="0"/>
    </xf>
    <xf numFmtId="0" fontId="7" fillId="0" borderId="0" xfId="0" applyFont="1" applyFill="1" applyBorder="1" applyAlignment="1" applyProtection="1">
      <protection locked="0"/>
    </xf>
    <xf numFmtId="166" fontId="7" fillId="0" borderId="0" xfId="0" applyNumberFormat="1" applyFont="1" applyFill="1" applyBorder="1" applyAlignment="1" applyProtection="1">
      <alignment horizontal="center"/>
      <protection locked="0"/>
    </xf>
    <xf numFmtId="0" fontId="7" fillId="0" borderId="0" xfId="0" quotePrefix="1" applyFont="1" applyFill="1" applyBorder="1" applyProtection="1">
      <protection locked="0"/>
    </xf>
    <xf numFmtId="0" fontId="36" fillId="0" borderId="0" xfId="0" applyFont="1" applyFill="1" applyBorder="1" applyProtection="1">
      <protection locked="0"/>
    </xf>
    <xf numFmtId="11" fontId="36" fillId="0" borderId="0" xfId="0" applyNumberFormat="1" applyFont="1" applyFill="1" applyBorder="1" applyAlignment="1" applyProtection="1">
      <alignment horizontal="center"/>
      <protection locked="0"/>
    </xf>
    <xf numFmtId="165" fontId="7" fillId="0" borderId="0" xfId="0" applyNumberFormat="1" applyFont="1" applyFill="1" applyAlignment="1" applyProtection="1">
      <alignment horizontal="center"/>
    </xf>
    <xf numFmtId="165" fontId="12" fillId="0" borderId="0" xfId="0" applyNumberFormat="1" applyFont="1" applyFill="1" applyAlignment="1" applyProtection="1">
      <alignment horizontal="center"/>
    </xf>
    <xf numFmtId="165" fontId="6" fillId="0" borderId="0" xfId="0" applyNumberFormat="1" applyFont="1" applyFill="1" applyBorder="1" applyAlignment="1" applyProtection="1">
      <alignment horizontal="center"/>
    </xf>
    <xf numFmtId="1" fontId="6" fillId="0" borderId="0" xfId="0" applyNumberFormat="1" applyFont="1" applyFill="1" applyBorder="1" applyAlignment="1" applyProtection="1">
      <alignment horizontal="center"/>
    </xf>
    <xf numFmtId="2" fontId="6" fillId="0" borderId="0" xfId="0" applyNumberFormat="1" applyFont="1" applyFill="1" applyAlignment="1" applyProtection="1">
      <alignment horizontal="center"/>
    </xf>
    <xf numFmtId="165" fontId="7" fillId="0" borderId="0" xfId="0" applyNumberFormat="1" applyFont="1" applyFill="1" applyBorder="1" applyAlignment="1" applyProtection="1">
      <alignment horizontal="center"/>
    </xf>
    <xf numFmtId="165" fontId="12" fillId="0" borderId="0" xfId="0" applyNumberFormat="1" applyFont="1" applyFill="1" applyBorder="1" applyAlignment="1" applyProtection="1">
      <alignment horizontal="center"/>
    </xf>
    <xf numFmtId="2" fontId="12" fillId="0" borderId="0" xfId="0" applyNumberFormat="1" applyFont="1" applyFill="1" applyBorder="1" applyAlignment="1" applyProtection="1">
      <alignment horizontal="center"/>
    </xf>
    <xf numFmtId="2" fontId="7" fillId="0" borderId="0" xfId="0" applyNumberFormat="1" applyFont="1" applyFill="1" applyBorder="1" applyAlignment="1" applyProtection="1">
      <alignment horizontal="center"/>
    </xf>
    <xf numFmtId="168" fontId="7" fillId="0" borderId="0" xfId="0" applyNumberFormat="1" applyFont="1" applyFill="1" applyBorder="1" applyAlignment="1" applyProtection="1">
      <alignment horizontal="center"/>
    </xf>
    <xf numFmtId="164" fontId="7" fillId="0" borderId="0" xfId="0" applyNumberFormat="1" applyFont="1" applyFill="1" applyBorder="1" applyAlignment="1" applyProtection="1">
      <alignment horizontal="center"/>
    </xf>
    <xf numFmtId="11" fontId="7" fillId="0" borderId="0" xfId="0" applyNumberFormat="1" applyFont="1" applyFill="1" applyBorder="1" applyAlignment="1" applyProtection="1">
      <alignment horizontal="center"/>
    </xf>
    <xf numFmtId="0" fontId="7" fillId="0" borderId="0" xfId="0" applyFont="1" applyFill="1" applyBorder="1" applyAlignment="1" applyProtection="1">
      <alignment horizontal="center"/>
    </xf>
    <xf numFmtId="0" fontId="38" fillId="0" borderId="0" xfId="0" applyFont="1" applyAlignment="1" applyProtection="1">
      <alignment horizontal="center"/>
      <protection locked="0"/>
    </xf>
    <xf numFmtId="0" fontId="7" fillId="0" borderId="0" xfId="0" applyFont="1" applyProtection="1">
      <protection locked="0"/>
    </xf>
    <xf numFmtId="0" fontId="7" fillId="0" borderId="0" xfId="0" applyFont="1" applyAlignment="1" applyProtection="1">
      <alignment horizontal="center"/>
      <protection locked="0"/>
    </xf>
    <xf numFmtId="0" fontId="7" fillId="0" borderId="0" xfId="0" applyFont="1" applyBorder="1" applyProtection="1">
      <protection locked="0"/>
    </xf>
    <xf numFmtId="0" fontId="7" fillId="0" borderId="0" xfId="0" applyFont="1" applyBorder="1" applyAlignment="1" applyProtection="1">
      <protection locked="0"/>
    </xf>
    <xf numFmtId="11" fontId="10" fillId="0" borderId="0" xfId="0" applyNumberFormat="1" applyFont="1" applyAlignment="1" applyProtection="1">
      <alignment horizontal="center"/>
      <protection locked="0"/>
    </xf>
    <xf numFmtId="0" fontId="12" fillId="0" borderId="0" xfId="0" applyFont="1" applyBorder="1" applyAlignment="1" applyProtection="1">
      <protection locked="0"/>
    </xf>
    <xf numFmtId="11" fontId="29" fillId="0" borderId="0" xfId="0" applyNumberFormat="1" applyFont="1" applyAlignment="1" applyProtection="1">
      <alignment horizontal="center"/>
      <protection locked="0"/>
    </xf>
    <xf numFmtId="0" fontId="12" fillId="0" borderId="0" xfId="0" applyFont="1" applyBorder="1" applyAlignment="1" applyProtection="1">
      <alignment horizontal="center"/>
      <protection locked="0"/>
    </xf>
    <xf numFmtId="0" fontId="12" fillId="0" borderId="0" xfId="0" applyFont="1" applyBorder="1" applyProtection="1">
      <protection locked="0"/>
    </xf>
    <xf numFmtId="11" fontId="7" fillId="0" borderId="0" xfId="0" applyNumberFormat="1" applyFont="1" applyAlignment="1" applyProtection="1">
      <alignment horizontal="center"/>
      <protection locked="0"/>
    </xf>
    <xf numFmtId="0" fontId="7" fillId="0" borderId="0" xfId="0" applyFont="1" applyBorder="1" applyAlignment="1" applyProtection="1">
      <alignment horizontal="center"/>
      <protection locked="0"/>
    </xf>
    <xf numFmtId="2" fontId="7" fillId="0" borderId="0" xfId="0" applyNumberFormat="1" applyFont="1" applyAlignment="1" applyProtection="1">
      <alignment horizontal="center"/>
      <protection locked="0"/>
    </xf>
    <xf numFmtId="0" fontId="28" fillId="0" borderId="0" xfId="0" applyFont="1" applyAlignment="1" applyProtection="1">
      <alignment horizontal="right"/>
      <protection locked="0"/>
    </xf>
    <xf numFmtId="0" fontId="28" fillId="0" borderId="0" xfId="0" applyFont="1" applyProtection="1">
      <protection locked="0"/>
    </xf>
    <xf numFmtId="0" fontId="9" fillId="0" borderId="0" xfId="0" applyFont="1" applyAlignment="1" applyProtection="1">
      <alignment horizontal="center"/>
      <protection locked="0"/>
    </xf>
    <xf numFmtId="0" fontId="6" fillId="0" borderId="0" xfId="0" applyFont="1" applyProtection="1">
      <protection locked="0"/>
    </xf>
    <xf numFmtId="0" fontId="12" fillId="0" borderId="0" xfId="0" applyFont="1" applyFill="1" applyAlignment="1" applyProtection="1">
      <alignment horizontal="left"/>
      <protection locked="0"/>
    </xf>
    <xf numFmtId="11" fontId="7" fillId="0" borderId="0" xfId="0" applyNumberFormat="1" applyFont="1" applyFill="1" applyAlignment="1" applyProtection="1">
      <alignment horizontal="center"/>
      <protection locked="0"/>
    </xf>
    <xf numFmtId="10" fontId="7" fillId="0" borderId="0" xfId="3" applyNumberFormat="1" applyFont="1" applyFill="1" applyAlignment="1" applyProtection="1">
      <alignment horizontal="center"/>
      <protection locked="0"/>
    </xf>
    <xf numFmtId="0" fontId="7" fillId="0" borderId="0" xfId="0" quotePrefix="1" applyFont="1" applyFill="1" applyProtection="1">
      <protection locked="0"/>
    </xf>
    <xf numFmtId="0" fontId="7" fillId="0" borderId="0" xfId="0" quotePrefix="1" applyFont="1" applyProtection="1">
      <protection locked="0"/>
    </xf>
    <xf numFmtId="0" fontId="12" fillId="0" borderId="0" xfId="0" applyFont="1" applyAlignment="1" applyProtection="1">
      <alignment horizontal="left"/>
      <protection locked="0"/>
    </xf>
    <xf numFmtId="10" fontId="7" fillId="0" borderId="0" xfId="3" applyNumberFormat="1" applyFont="1" applyAlignment="1" applyProtection="1">
      <alignment horizontal="center"/>
      <protection locked="0"/>
    </xf>
    <xf numFmtId="10" fontId="7" fillId="0" borderId="0" xfId="0" applyNumberFormat="1" applyFont="1" applyProtection="1">
      <protection locked="0"/>
    </xf>
    <xf numFmtId="0" fontId="7" fillId="0" borderId="0" xfId="0" applyFont="1" applyAlignment="1" applyProtection="1">
      <alignment horizontal="left"/>
      <protection locked="0"/>
    </xf>
    <xf numFmtId="0" fontId="6" fillId="0" borderId="0" xfId="0" applyFont="1" applyFill="1" applyProtection="1">
      <protection locked="0"/>
    </xf>
    <xf numFmtId="169" fontId="7" fillId="0" borderId="0" xfId="3" applyNumberFormat="1" applyFont="1" applyFill="1" applyAlignment="1" applyProtection="1">
      <alignment horizontal="center"/>
      <protection locked="0"/>
    </xf>
    <xf numFmtId="168" fontId="7" fillId="0" borderId="0" xfId="0" applyNumberFormat="1" applyFont="1" applyAlignment="1" applyProtection="1">
      <alignment horizontal="center"/>
      <protection locked="0"/>
    </xf>
    <xf numFmtId="0" fontId="7" fillId="0" borderId="0" xfId="0" applyFont="1" applyAlignment="1" applyProtection="1">
      <alignment wrapText="1"/>
      <protection locked="0"/>
    </xf>
    <xf numFmtId="165" fontId="7" fillId="0" borderId="0" xfId="0" applyNumberFormat="1" applyFont="1" applyAlignment="1" applyProtection="1">
      <alignment horizontal="center"/>
      <protection locked="0"/>
    </xf>
    <xf numFmtId="11" fontId="7" fillId="0" borderId="0" xfId="0" applyNumberFormat="1" applyFont="1" applyAlignment="1" applyProtection="1">
      <alignment horizontal="center"/>
    </xf>
    <xf numFmtId="11" fontId="7" fillId="0" borderId="0" xfId="0" applyNumberFormat="1" applyFont="1" applyFill="1" applyAlignment="1" applyProtection="1">
      <alignment horizontal="center"/>
    </xf>
    <xf numFmtId="9" fontId="7" fillId="0" borderId="0" xfId="3" applyNumberFormat="1" applyFont="1" applyFill="1" applyAlignment="1" applyProtection="1">
      <alignment horizontal="center"/>
    </xf>
    <xf numFmtId="10" fontId="7" fillId="0" borderId="0" xfId="3" applyNumberFormat="1" applyFont="1" applyFill="1" applyAlignment="1" applyProtection="1">
      <alignment horizontal="center"/>
    </xf>
    <xf numFmtId="10" fontId="7" fillId="0" borderId="0" xfId="3" applyNumberFormat="1" applyFont="1" applyAlignment="1" applyProtection="1">
      <alignment horizontal="center"/>
    </xf>
    <xf numFmtId="168" fontId="7" fillId="0" borderId="0" xfId="0" applyNumberFormat="1" applyFont="1" applyAlignment="1" applyProtection="1">
      <alignment horizontal="center"/>
    </xf>
    <xf numFmtId="168" fontId="7" fillId="0" borderId="0" xfId="0" applyNumberFormat="1" applyFont="1" applyBorder="1" applyAlignment="1" applyProtection="1">
      <alignment horizontal="center"/>
    </xf>
    <xf numFmtId="0" fontId="7" fillId="0" borderId="0" xfId="0" applyFont="1" applyFill="1" applyAlignment="1" applyProtection="1">
      <alignment horizontal="center"/>
    </xf>
    <xf numFmtId="0" fontId="6" fillId="0" borderId="0" xfId="0" applyFont="1" applyBorder="1" applyProtection="1">
      <protection locked="0"/>
    </xf>
    <xf numFmtId="0" fontId="7" fillId="0" borderId="0" xfId="0" applyFont="1" applyAlignment="1" applyProtection="1">
      <protection locked="0"/>
    </xf>
    <xf numFmtId="170" fontId="29" fillId="0" borderId="0" xfId="0" applyNumberFormat="1" applyFont="1" applyAlignment="1" applyProtection="1">
      <alignment horizontal="center"/>
      <protection locked="0"/>
    </xf>
    <xf numFmtId="170" fontId="6" fillId="0" borderId="0" xfId="0" applyNumberFormat="1" applyFont="1" applyAlignment="1" applyProtection="1">
      <alignment horizontal="center"/>
      <protection locked="0"/>
    </xf>
    <xf numFmtId="0" fontId="29" fillId="0" borderId="0" xfId="0" applyFont="1" applyAlignment="1" applyProtection="1">
      <alignment horizontal="center"/>
      <protection locked="0"/>
    </xf>
    <xf numFmtId="0" fontId="6" fillId="0" borderId="0" xfId="0" applyFont="1" applyAlignment="1" applyProtection="1">
      <alignment horizontal="center"/>
      <protection locked="0"/>
    </xf>
    <xf numFmtId="170" fontId="29" fillId="0" borderId="0" xfId="0" applyNumberFormat="1" applyFont="1" applyFill="1" applyAlignment="1" applyProtection="1">
      <alignment horizontal="center"/>
      <protection locked="0"/>
    </xf>
    <xf numFmtId="0" fontId="6" fillId="0" borderId="0" xfId="0" applyFont="1" applyFill="1" applyAlignment="1" applyProtection="1">
      <alignment horizontal="center"/>
      <protection locked="0"/>
    </xf>
    <xf numFmtId="0" fontId="29" fillId="0" borderId="0" xfId="0" applyFont="1" applyFill="1" applyAlignment="1" applyProtection="1">
      <alignment horizontal="center"/>
      <protection locked="0"/>
    </xf>
    <xf numFmtId="0" fontId="17" fillId="0" borderId="0" xfId="0" applyFont="1" applyProtection="1">
      <protection locked="0"/>
    </xf>
    <xf numFmtId="0" fontId="10" fillId="0" borderId="0" xfId="0" applyFont="1" applyAlignment="1" applyProtection="1">
      <alignment horizontal="center"/>
      <protection locked="0"/>
    </xf>
    <xf numFmtId="0" fontId="17" fillId="0" borderId="0" xfId="0" applyFont="1" applyAlignment="1" applyProtection="1">
      <protection locked="0"/>
    </xf>
    <xf numFmtId="165" fontId="29" fillId="0" borderId="0" xfId="0" applyNumberFormat="1" applyFont="1" applyFill="1" applyAlignment="1" applyProtection="1">
      <alignment horizontal="center"/>
      <protection locked="0"/>
    </xf>
    <xf numFmtId="165" fontId="6" fillId="0" borderId="0" xfId="0" applyNumberFormat="1" applyFont="1" applyAlignment="1" applyProtection="1">
      <alignment horizontal="center"/>
      <protection locked="0"/>
    </xf>
    <xf numFmtId="0" fontId="17" fillId="0" borderId="0" xfId="0" applyFont="1" applyAlignment="1" applyProtection="1">
      <alignment horizontal="center"/>
      <protection locked="0"/>
    </xf>
    <xf numFmtId="0" fontId="17" fillId="0" borderId="0" xfId="0" applyFont="1" applyFill="1" applyBorder="1" applyAlignment="1" applyProtection="1">
      <alignment horizontal="center"/>
      <protection locked="0"/>
    </xf>
    <xf numFmtId="0" fontId="7" fillId="0" borderId="0" xfId="0" quotePrefix="1" applyFont="1" applyAlignment="1" applyProtection="1">
      <alignment horizontal="left"/>
      <protection locked="0"/>
    </xf>
    <xf numFmtId="1" fontId="7" fillId="0" borderId="0" xfId="0" applyNumberFormat="1" applyFont="1" applyFill="1" applyAlignment="1" applyProtection="1">
      <alignment horizontal="center"/>
      <protection locked="0"/>
    </xf>
    <xf numFmtId="2" fontId="7" fillId="0" borderId="0" xfId="0" applyNumberFormat="1" applyFont="1" applyFill="1" applyAlignment="1" applyProtection="1">
      <alignment horizontal="center"/>
    </xf>
    <xf numFmtId="168" fontId="7" fillId="0" borderId="0" xfId="0" applyNumberFormat="1" applyFont="1" applyFill="1" applyAlignment="1" applyProtection="1">
      <alignment horizontal="center"/>
    </xf>
    <xf numFmtId="0" fontId="9" fillId="0" borderId="0" xfId="0" applyFont="1" applyAlignment="1" applyProtection="1">
      <alignment horizontal="center"/>
      <protection locked="0"/>
    </xf>
  </cellXfs>
  <cellStyles count="22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Normal" xfId="0" builtinId="0"/>
    <cellStyle name="Normal 2" xfId="1" xr:uid="{00000000-0005-0000-0000-0000D5000000}"/>
    <cellStyle name="Normal 2 2" xfId="219" xr:uid="{00000000-0005-0000-0000-0000D6000000}"/>
    <cellStyle name="Normal 3" xfId="218" xr:uid="{00000000-0005-0000-0000-0000D7000000}"/>
    <cellStyle name="Normal 3 2" xfId="221" xr:uid="{00000000-0005-0000-0000-0000D8000000}"/>
    <cellStyle name="Normal 4" xfId="222" xr:uid="{00000000-0005-0000-0000-0000D9000000}"/>
    <cellStyle name="Percent" xfId="3" builtinId="5"/>
    <cellStyle name="Percent 2" xfId="223" xr:uid="{00000000-0005-0000-0000-0000DB000000}"/>
    <cellStyle name="一般 2" xfId="2" xr:uid="{00000000-0005-0000-0000-0000DC000000}"/>
    <cellStyle name="一般 2 2" xfId="216" xr:uid="{00000000-0005-0000-0000-0000DD000000}"/>
    <cellStyle name="一般 2 2 2" xfId="220" xr:uid="{00000000-0005-0000-0000-0000DE000000}"/>
    <cellStyle name="一般 2 3" xfId="217" xr:uid="{00000000-0005-0000-0000-0000DF000000}"/>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image" Target="../media/image1.png"/></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7"/>
            <c:spPr>
              <a:ln>
                <a:solidFill>
                  <a:schemeClr val="tx1"/>
                </a:solidFill>
              </a:ln>
            </c:spPr>
          </c:marker>
          <c:trendline>
            <c:trendlineType val="linear"/>
            <c:dispRSqr val="1"/>
            <c:dispEq val="1"/>
            <c:trendlineLbl>
              <c:layout>
                <c:manualLayout>
                  <c:x val="0.17656889763779501"/>
                  <c:y val="-0.52281641878098595"/>
                </c:manualLayout>
              </c:layout>
              <c:numFmt formatCode="General" sourceLinked="0"/>
            </c:trendlineLbl>
          </c:trendline>
          <c:xVal>
            <c:numRef>
              <c:f>'Data Worksheet'!$D$26:$D$95</c:f>
              <c:numCache>
                <c:formatCode>General</c:formatCode>
                <c:ptCount val="70"/>
                <c:pt idx="0">
                  <c:v>0</c:v>
                </c:pt>
                <c:pt idx="1">
                  <c:v>0</c:v>
                </c:pt>
                <c:pt idx="2">
                  <c:v>0</c:v>
                </c:pt>
                <c:pt idx="3">
                  <c:v>0</c:v>
                </c:pt>
                <c:pt idx="4">
                  <c:v>0</c:v>
                </c:pt>
                <c:pt idx="5">
                  <c:v>1</c:v>
                </c:pt>
                <c:pt idx="6">
                  <c:v>1</c:v>
                </c:pt>
                <c:pt idx="7">
                  <c:v>1</c:v>
                </c:pt>
                <c:pt idx="8">
                  <c:v>1</c:v>
                </c:pt>
                <c:pt idx="9">
                  <c:v>1</c:v>
                </c:pt>
                <c:pt idx="10">
                  <c:v>3</c:v>
                </c:pt>
                <c:pt idx="11">
                  <c:v>3</c:v>
                </c:pt>
                <c:pt idx="12">
                  <c:v>3</c:v>
                </c:pt>
                <c:pt idx="13">
                  <c:v>3</c:v>
                </c:pt>
                <c:pt idx="14">
                  <c:v>3</c:v>
                </c:pt>
                <c:pt idx="15">
                  <c:v>7</c:v>
                </c:pt>
                <c:pt idx="16">
                  <c:v>7</c:v>
                </c:pt>
                <c:pt idx="17">
                  <c:v>7</c:v>
                </c:pt>
                <c:pt idx="18">
                  <c:v>7</c:v>
                </c:pt>
                <c:pt idx="19">
                  <c:v>7</c:v>
                </c:pt>
                <c:pt idx="20">
                  <c:v>14</c:v>
                </c:pt>
                <c:pt idx="21">
                  <c:v>14</c:v>
                </c:pt>
                <c:pt idx="22">
                  <c:v>14</c:v>
                </c:pt>
                <c:pt idx="23">
                  <c:v>14</c:v>
                </c:pt>
                <c:pt idx="24">
                  <c:v>14</c:v>
                </c:pt>
              </c:numCache>
            </c:numRef>
          </c:xVal>
          <c:yVal>
            <c:numRef>
              <c:f>'Data Worksheet'!$H$26:$H$95</c:f>
              <c:numCache>
                <c:formatCode>0.0000</c:formatCode>
                <c:ptCount val="70"/>
                <c:pt idx="0">
                  <c:v>-7.4185809027481282</c:v>
                </c:pt>
                <c:pt idx="1">
                  <c:v>-6.6453910145146464</c:v>
                </c:pt>
                <c:pt idx="2">
                  <c:v>-6.6453910145146464</c:v>
                </c:pt>
                <c:pt idx="3">
                  <c:v>-6.9382144864668458</c:v>
                </c:pt>
                <c:pt idx="4">
                  <c:v>-6.9696306827002248</c:v>
                </c:pt>
                <c:pt idx="5">
                  <c:v>-7.1308988302963465</c:v>
                </c:pt>
                <c:pt idx="6">
                  <c:v>-6.9696306827002248</c:v>
                </c:pt>
                <c:pt idx="7">
                  <c:v>-6.2659013928097425</c:v>
                </c:pt>
                <c:pt idx="8">
                  <c:v>-6.812445099177812</c:v>
                </c:pt>
                <c:pt idx="9">
                  <c:v>-6.9077552789821368</c:v>
                </c:pt>
                <c:pt idx="10">
                  <c:v>-7.5810998322459024</c:v>
                </c:pt>
                <c:pt idx="11">
                  <c:v>-7.3232707229438025</c:v>
                </c:pt>
                <c:pt idx="12">
                  <c:v>-8.3348716346222833</c:v>
                </c:pt>
                <c:pt idx="13">
                  <c:v>-8.3774312490410789</c:v>
                </c:pt>
                <c:pt idx="14">
                  <c:v>-8.5171931914162382</c:v>
                </c:pt>
                <c:pt idx="15">
                  <c:v>-8.740336742730447</c:v>
                </c:pt>
                <c:pt idx="16">
                  <c:v>-8.5684864858037884</c:v>
                </c:pt>
                <c:pt idx="17">
                  <c:v>-8.8048752638680181</c:v>
                </c:pt>
                <c:pt idx="18">
                  <c:v>-9.2103403719761818</c:v>
                </c:pt>
                <c:pt idx="19">
                  <c:v>-9.4588017312746828</c:v>
                </c:pt>
                <c:pt idx="20">
                  <c:v>-10.231991619508165</c:v>
                </c:pt>
                <c:pt idx="21">
                  <c:v>-10.557414019942792</c:v>
                </c:pt>
                <c:pt idx="22">
                  <c:v>-10.557414019942792</c:v>
                </c:pt>
                <c:pt idx="23">
                  <c:v>-9.8642668393828465</c:v>
                </c:pt>
                <c:pt idx="24">
                  <c:v>-9.7724592901297243</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yVal>
          <c:smooth val="0"/>
          <c:extLst>
            <c:ext xmlns:c16="http://schemas.microsoft.com/office/drawing/2014/chart" uri="{C3380CC4-5D6E-409C-BE32-E72D297353CC}">
              <c16:uniqueId val="{00000001-98EB-0E47-BEF4-E1084668F7A9}"/>
            </c:ext>
          </c:extLst>
        </c:ser>
        <c:dLbls>
          <c:showLegendKey val="0"/>
          <c:showVal val="0"/>
          <c:showCatName val="0"/>
          <c:showSerName val="0"/>
          <c:showPercent val="0"/>
          <c:showBubbleSize val="0"/>
        </c:dLbls>
        <c:axId val="253986704"/>
        <c:axId val="253987096"/>
      </c:scatterChart>
      <c:valAx>
        <c:axId val="253986704"/>
        <c:scaling>
          <c:orientation val="minMax"/>
        </c:scaling>
        <c:delete val="0"/>
        <c:axPos val="b"/>
        <c:title>
          <c:tx>
            <c:rich>
              <a:bodyPr/>
              <a:lstStyle/>
              <a:p>
                <a:pPr>
                  <a:defRPr/>
                </a:pPr>
                <a:r>
                  <a:rPr lang="en-US" altLang="zh-TW"/>
                  <a:t>Time (day)</a:t>
                </a:r>
                <a:endParaRPr lang="zh-TW" altLang="en-US"/>
              </a:p>
            </c:rich>
          </c:tx>
          <c:layout>
            <c:manualLayout>
              <c:xMode val="edge"/>
              <c:yMode val="edge"/>
              <c:x val="0.48185710273666299"/>
              <c:y val="0.92827811617887401"/>
            </c:manualLayout>
          </c:layout>
          <c:overlay val="0"/>
        </c:title>
        <c:numFmt formatCode="General" sourceLinked="1"/>
        <c:majorTickMark val="out"/>
        <c:minorTickMark val="none"/>
        <c:tickLblPos val="nextTo"/>
        <c:crossAx val="253987096"/>
        <c:crossesAt val="-20"/>
        <c:crossBetween val="midCat"/>
      </c:valAx>
      <c:valAx>
        <c:axId val="253987096"/>
        <c:scaling>
          <c:orientation val="minMax"/>
        </c:scaling>
        <c:delete val="0"/>
        <c:axPos val="l"/>
        <c:majorGridlines>
          <c:spPr>
            <a:ln>
              <a:noFill/>
            </a:ln>
          </c:spPr>
        </c:majorGridlines>
        <c:title>
          <c:tx>
            <c:rich>
              <a:bodyPr rot="-5400000" vert="horz"/>
              <a:lstStyle/>
              <a:p>
                <a:pPr>
                  <a:defRPr/>
                </a:pPr>
                <a:r>
                  <a:rPr lang="en-US" altLang="zh-TW"/>
                  <a:t>ln C</a:t>
                </a:r>
                <a:r>
                  <a:rPr lang="en-US" altLang="zh-TW" baseline="-25000"/>
                  <a:t>B</a:t>
                </a:r>
                <a:r>
                  <a:rPr lang="en-US" altLang="zh-TW"/>
                  <a:t> (g/kg ww)</a:t>
                </a:r>
                <a:endParaRPr lang="zh-TW" altLang="en-US"/>
              </a:p>
            </c:rich>
          </c:tx>
          <c:overlay val="0"/>
        </c:title>
        <c:numFmt formatCode="General" sourceLinked="0"/>
        <c:majorTickMark val="out"/>
        <c:minorTickMark val="none"/>
        <c:tickLblPos val="nextTo"/>
        <c:crossAx val="253986704"/>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vert="horz"/>
        <a:lstStyle/>
        <a:p>
          <a:pPr>
            <a:defRPr/>
          </a:pPr>
          <a:endParaRPr lang="en-US"/>
        </a:p>
      </c:txPr>
    </c:title>
    <c:autoTitleDeleted val="0"/>
    <c:plotArea>
      <c:layout/>
      <c:scatterChart>
        <c:scatterStyle val="lineMarker"/>
        <c:varyColors val="0"/>
        <c:dLbls>
          <c:showLegendKey val="0"/>
          <c:showVal val="0"/>
          <c:showCatName val="0"/>
          <c:showSerName val="0"/>
          <c:showPercent val="0"/>
          <c:showBubbleSize val="0"/>
        </c:dLbls>
        <c:axId val="253987880"/>
        <c:axId val="253988272"/>
      </c:scatterChart>
      <c:valAx>
        <c:axId val="25398788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53988272"/>
        <c:crosses val="autoZero"/>
        <c:crossBetween val="midCat"/>
      </c:valAx>
      <c:valAx>
        <c:axId val="253988272"/>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53987880"/>
        <c:crosses val="autoZero"/>
        <c:crossBetween val="midCat"/>
      </c:valAx>
      <c:spPr>
        <a:noFill/>
        <a:ln>
          <a:noFill/>
        </a:ln>
        <a:effectLst/>
      </c:spPr>
    </c:plotArea>
    <c:plotVisOnly val="1"/>
    <c:dispBlanksAs val="gap"/>
    <c:showDLblsOverMax val="0"/>
  </c:chart>
  <c:spPr>
    <a:blipFill dpi="0" rotWithShape="1">
      <a:blip xmlns:r="http://schemas.openxmlformats.org/officeDocument/2006/relationships" r:embed="rId1"/>
      <a:srcRect/>
      <a:stretch>
        <a:fillRect/>
      </a:stretch>
    </a:blipFill>
    <a:ln w="9525" cap="flat" cmpd="sng" algn="ctr">
      <a:noFill/>
      <a:round/>
    </a:ln>
    <a:effectLst/>
  </c:spPr>
  <c:txPr>
    <a:bodyPr/>
    <a:lstStyle/>
    <a:p>
      <a:pPr>
        <a:defRPr>
          <a:latin typeface="Arial" pitchFamily="34" charset="0"/>
          <a:cs typeface="Arial" pitchFamily="34" charset="0"/>
        </a:defRPr>
      </a:pPr>
      <a:endParaRPr lang="en-US"/>
    </a:p>
  </c:txPr>
  <c:printSettings>
    <c:headerFooter/>
    <c:pageMargins b="0.750000000000002" l="0.70000000000000095" r="0.70000000000000095" t="0.750000000000002"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vert="horz"/>
        <a:lstStyle/>
        <a:p>
          <a:pPr>
            <a:defRPr/>
          </a:pPr>
          <a:endParaRPr lang="en-US"/>
        </a:p>
      </c:txPr>
    </c:title>
    <c:autoTitleDeleted val="0"/>
    <c:plotArea>
      <c:layout/>
      <c:scatterChart>
        <c:scatterStyle val="lineMarker"/>
        <c:varyColors val="0"/>
        <c:dLbls>
          <c:showLegendKey val="0"/>
          <c:showVal val="0"/>
          <c:showCatName val="0"/>
          <c:showSerName val="0"/>
          <c:showPercent val="0"/>
          <c:showBubbleSize val="0"/>
        </c:dLbls>
        <c:axId val="371967920"/>
        <c:axId val="371968312"/>
      </c:scatterChart>
      <c:valAx>
        <c:axId val="37196792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371968312"/>
        <c:crosses val="autoZero"/>
        <c:crossBetween val="midCat"/>
      </c:valAx>
      <c:valAx>
        <c:axId val="371968312"/>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371967920"/>
        <c:crosses val="autoZero"/>
        <c:crossBetween val="midCat"/>
      </c:valAx>
      <c:spPr>
        <a:noFill/>
        <a:ln>
          <a:noFill/>
        </a:ln>
        <a:effectLst/>
      </c:spPr>
    </c:plotArea>
    <c:plotVisOnly val="1"/>
    <c:dispBlanksAs val="gap"/>
    <c:showDLblsOverMax val="0"/>
  </c:chart>
  <c:spPr>
    <a:blipFill dpi="0" rotWithShape="1">
      <a:blip xmlns:r="http://schemas.openxmlformats.org/officeDocument/2006/relationships" r:embed="rId1"/>
      <a:srcRect/>
      <a:stretch>
        <a:fillRect/>
      </a:stretch>
    </a:blipFill>
    <a:ln w="9525" cap="flat" cmpd="sng" algn="ctr">
      <a:noFill/>
      <a:round/>
    </a:ln>
    <a:effectLst/>
  </c:spPr>
  <c:txPr>
    <a:bodyPr/>
    <a:lstStyle/>
    <a:p>
      <a:pPr>
        <a:defRPr>
          <a:latin typeface="Arial" pitchFamily="34" charset="0"/>
          <a:cs typeface="Arial" pitchFamily="34" charset="0"/>
        </a:defRPr>
      </a:pPr>
      <a:endParaRPr lang="en-US"/>
    </a:p>
  </c:txPr>
  <c:printSettings>
    <c:headerFooter/>
    <c:pageMargins b="0.750000000000002" l="0.70000000000000095" r="0.70000000000000095" t="0.750000000000002" header="0.3" footer="0.3"/>
    <c:pageSetup/>
  </c:printSettings>
  <c:userShapes r:id="rId2"/>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279400</xdr:colOff>
      <xdr:row>0</xdr:row>
      <xdr:rowOff>127001</xdr:rowOff>
    </xdr:from>
    <xdr:ext cx="11074400" cy="788246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79400" y="127001"/>
          <a:ext cx="11074400" cy="7882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spcAft>
              <a:spcPts val="300"/>
            </a:spcAft>
          </a:pPr>
          <a:r>
            <a:rPr lang="en-US" sz="1400" b="1"/>
            <a:t>ADME-B(ioaccumulation) Calculator for OECD 305 Dietary Bioaccumulation Tests in Fish</a:t>
          </a:r>
        </a:p>
        <a:p>
          <a:pPr algn="ctr"/>
          <a:endParaRPr lang="en-US" sz="1200" b="1"/>
        </a:p>
        <a:p>
          <a:pPr algn="ctr"/>
          <a:r>
            <a:rPr lang="en-US" sz="1200" b="1"/>
            <a:t>Authors : Frank A. P. C. Gobas, Yung-Shan Lee and Justin C. Lo</a:t>
          </a:r>
        </a:p>
        <a:p>
          <a:pPr algn="ctr"/>
          <a:endParaRPr lang="en-US" sz="1100"/>
        </a:p>
        <a:p>
          <a:r>
            <a:rPr lang="en-US" sz="1100" b="1"/>
            <a:t>About the Fish Bioaccumulation ADME Calculator:</a:t>
          </a:r>
          <a:endParaRPr lang="en-US" sz="1100"/>
        </a:p>
        <a:p>
          <a:pPr marL="228600" indent="-228600">
            <a:buFont typeface="+mj-lt"/>
            <a:buAutoNum type="arabicPeriod"/>
          </a:pPr>
          <a:r>
            <a:rPr lang="en-US" sz="1100"/>
            <a:t>The </a:t>
          </a:r>
          <a:r>
            <a:rPr lang="en-US" sz="1100" baseline="0"/>
            <a:t>Fish Bioaccumulation ADME Calculator  was developed to aid in the</a:t>
          </a:r>
          <a:r>
            <a:rPr lang="en-US" sz="1100"/>
            <a:t> interpretation of the results from OECD 305 dietary bioaccumulation tests of non-ionic hydrophobic organic chemicals in fish.</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US" sz="1100"/>
            <a:t>The </a:t>
          </a:r>
          <a:r>
            <a:rPr lang="en-US" sz="1100" baseline="0"/>
            <a:t>Fish Bioaccumulation </a:t>
          </a:r>
          <a:r>
            <a:rPr lang="en-US" sz="1100"/>
            <a:t>ADME Calculator derives a range of bioaccumulation metrics describing the Absorption, Distribution, Metabolism and Excretion (ADME) of non-ionic hydrophobic organic chemicals in fish </a:t>
          </a:r>
          <a:r>
            <a:rPr lang="en-US" sz="1100" baseline="0"/>
            <a:t>from the results of OECD 305 dietary bioaccumulation tests. </a:t>
          </a:r>
          <a:endParaRPr lang="en-US" sz="1100"/>
        </a:p>
        <a:p>
          <a:pPr marL="228600" indent="-228600">
            <a:buFont typeface="+mj-lt"/>
            <a:buAutoNum type="arabicPeriod"/>
          </a:pPr>
          <a:r>
            <a:rPr lang="en-US" sz="1100"/>
            <a:t>The </a:t>
          </a:r>
          <a:r>
            <a:rPr lang="en-US" sz="1100" baseline="0"/>
            <a:t>Fish Bioaccumulation </a:t>
          </a:r>
          <a:r>
            <a:rPr lang="en-US" sz="1100"/>
            <a:t>ADME Calculator derives </a:t>
          </a:r>
          <a:r>
            <a:rPr lang="en-US" sz="1100" baseline="0"/>
            <a:t>the bioconcentration factor (BCF), biomagnification factor (BMF), dietary absorption efficiency (E</a:t>
          </a:r>
          <a:r>
            <a:rPr lang="en-US" sz="1100" baseline="-25000"/>
            <a:t>D</a:t>
          </a:r>
          <a:r>
            <a:rPr lang="en-US" sz="1100" baseline="0"/>
            <a:t>), biotransformation rate constants (k</a:t>
          </a:r>
          <a:r>
            <a:rPr lang="en-US" sz="1100" baseline="-25000"/>
            <a:t>BM</a:t>
          </a:r>
          <a:r>
            <a:rPr lang="en-US" sz="1100" baseline="0"/>
            <a:t>, k</a:t>
          </a:r>
          <a:r>
            <a:rPr lang="en-US" sz="1100" baseline="-25000"/>
            <a:t>GM</a:t>
          </a:r>
          <a:r>
            <a:rPr lang="en-US" sz="1100" baseline="0"/>
            <a:t>), gill uptake rate constants (k</a:t>
          </a:r>
          <a:r>
            <a:rPr lang="en-US" sz="1100" baseline="-25000"/>
            <a:t>1</a:t>
          </a:r>
          <a:r>
            <a:rPr lang="en-US" sz="1100" baseline="0"/>
            <a:t>) and other bioaccumulation metrics in fish. </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US" sz="1100" baseline="0"/>
            <a:t>The Fish Bioaccumulation ADME Calculator provides a mass balance of the chemical in the fish based on the results of an OECD 305 dietary bioaccumulation test and user-defined exposure scenarios (e.g., field exposures).</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US" sz="1100" baseline="0"/>
            <a:t>The Fish Bioaccumulation ADME Calculator makes estimates of the bioaccumulation behaviour of test chemicals in air-breathing species from the results of OECD 305 dietary bioaccumulation tests in fish.</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US" sz="1100" baseline="0"/>
            <a:t>The Fish Bioaccumulation ADME Calculator assesses whether the test chemical has the potential to cause baseline toxicity (or, with additional input, other forms of toxicity) in fish.  </a:t>
          </a:r>
        </a:p>
        <a:p>
          <a:endParaRPr lang="en-US" sz="1100" b="1"/>
        </a:p>
        <a:p>
          <a:r>
            <a:rPr lang="en-US" sz="1100" b="1"/>
            <a:t>How to use the Calculator:</a:t>
          </a:r>
        </a:p>
        <a:p>
          <a:pPr marL="228600" indent="-228600">
            <a:spcAft>
              <a:spcPts val="300"/>
            </a:spcAft>
            <a:buFont typeface="+mj-lt"/>
            <a:buAutoNum type="arabicPeriod"/>
          </a:pPr>
          <a:r>
            <a:rPr lang="en-US" sz="1100"/>
            <a:t>Go to Data Worksheet and Enter the required information where indicated. Entries are in </a:t>
          </a:r>
          <a:r>
            <a:rPr lang="en-US" sz="1100" b="1">
              <a:solidFill>
                <a:srgbClr val="FF0000"/>
              </a:solidFill>
            </a:rPr>
            <a:t>RED.</a:t>
          </a:r>
        </a:p>
        <a:p>
          <a:pPr marL="685800" lvl="1" indent="-228600">
            <a:spcAft>
              <a:spcPts val="300"/>
            </a:spcAft>
            <a:buFont typeface="Arial"/>
            <a:buChar char="•"/>
          </a:pPr>
          <a:r>
            <a:rPr lang="en-US" sz="1100"/>
            <a:t>  If input data are not available, you can enter recommended Default Values in </a:t>
          </a:r>
          <a:r>
            <a:rPr lang="en-US" sz="1100" b="1"/>
            <a:t>BLACK </a:t>
          </a:r>
          <a:r>
            <a:rPr lang="en-US" sz="1100" b="0"/>
            <a:t>when</a:t>
          </a:r>
          <a:r>
            <a:rPr lang="en-US" sz="1100" b="0" baseline="0"/>
            <a:t> appropriate</a:t>
          </a:r>
          <a:r>
            <a:rPr lang="en-US" sz="1100" b="1"/>
            <a:t>.</a:t>
          </a:r>
        </a:p>
        <a:p>
          <a:pPr marL="685800" lvl="1" indent="-228600">
            <a:spcAft>
              <a:spcPts val="300"/>
            </a:spcAft>
            <a:buFont typeface="Arial"/>
            <a:buChar char="•"/>
          </a:pPr>
          <a:r>
            <a:rPr lang="en-US" sz="1100"/>
            <a:t>  If recommended chemical property data in </a:t>
          </a:r>
          <a:r>
            <a:rPr lang="en-US" sz="1100" b="1">
              <a:solidFill>
                <a:srgbClr val="0000FF"/>
              </a:solidFill>
            </a:rPr>
            <a:t>BLUE</a:t>
          </a:r>
          <a:r>
            <a:rPr lang="en-US" sz="1100"/>
            <a:t> are not appropriate, overwrite the values with appropriate values. </a:t>
          </a:r>
        </a:p>
        <a:p>
          <a:pPr marL="685800" lvl="1" indent="-228600">
            <a:spcAft>
              <a:spcPts val="300"/>
            </a:spcAft>
            <a:buFont typeface="Arial"/>
            <a:buChar char="•"/>
          </a:pPr>
          <a:r>
            <a:rPr lang="en-US" sz="1100"/>
            <a:t>  Values in</a:t>
          </a:r>
          <a:r>
            <a:rPr lang="en-US" sz="1100">
              <a:solidFill>
                <a:schemeClr val="bg1">
                  <a:lumMod val="65000"/>
                </a:schemeClr>
              </a:solidFill>
            </a:rPr>
            <a:t> </a:t>
          </a:r>
          <a:r>
            <a:rPr lang="en-US" sz="1100" b="1">
              <a:solidFill>
                <a:schemeClr val="tx1"/>
              </a:solidFill>
            </a:rPr>
            <a:t>BLACK</a:t>
          </a:r>
          <a:r>
            <a:rPr lang="en-US" sz="1100" b="1">
              <a:solidFill>
                <a:schemeClr val="bg1">
                  <a:lumMod val="65000"/>
                </a:schemeClr>
              </a:solidFill>
            </a:rPr>
            <a:t> </a:t>
          </a:r>
          <a:r>
            <a:rPr lang="en-US" sz="1100"/>
            <a:t>cannot be overwritten.</a:t>
          </a:r>
        </a:p>
        <a:p>
          <a:pPr marL="228600" indent="-228600">
            <a:spcAft>
              <a:spcPts val="300"/>
            </a:spcAft>
            <a:buFont typeface="+mj-lt"/>
            <a:buAutoNum type="arabicPeriod"/>
          </a:pPr>
          <a:r>
            <a:rPr lang="en-US" sz="1100"/>
            <a:t>Scroll down in Data Worksheet to find various</a:t>
          </a:r>
          <a:r>
            <a:rPr lang="en-US" sz="1100" baseline="0"/>
            <a:t> bioaccumulation metrics.</a:t>
          </a:r>
          <a:endParaRPr lang="en-US" sz="1100"/>
        </a:p>
        <a:p>
          <a:pPr marL="228600" indent="-228600">
            <a:spcAft>
              <a:spcPts val="300"/>
            </a:spcAft>
            <a:buFont typeface="+mj-lt"/>
            <a:buAutoNum type="arabicPeriod"/>
          </a:pPr>
          <a:r>
            <a:rPr lang="en-US" sz="1100"/>
            <a:t>Go to ADME</a:t>
          </a:r>
          <a:r>
            <a:rPr lang="en-US" sz="1100" baseline="0"/>
            <a:t> Profiler to find information on </a:t>
          </a:r>
          <a:r>
            <a:rPr lang="en-US" sz="1100"/>
            <a:t>the Absorption, Distribution, Metabolism and Excretion (ADME) of the chemical in the test and under other</a:t>
          </a:r>
          <a:r>
            <a:rPr lang="en-US" sz="1100" baseline="0"/>
            <a:t> User-Defined exposure conditions (e.g., field conditions). </a:t>
          </a:r>
        </a:p>
        <a:p>
          <a:pPr marL="228600" indent="-228600">
            <a:spcAft>
              <a:spcPts val="300"/>
            </a:spcAft>
            <a:buFont typeface="+mj-lt"/>
            <a:buAutoNum type="arabicPeriod"/>
          </a:pPr>
          <a:r>
            <a:rPr lang="en-US" sz="1100" baseline="0"/>
            <a:t>The Standard Error Calculations sheet includes details of the calculation of the standard error of the bioaccumulation metrics used in the ADME Calculator. </a:t>
          </a:r>
        </a:p>
        <a:p>
          <a:pPr marL="228600" indent="-228600">
            <a:spcAft>
              <a:spcPts val="300"/>
            </a:spcAft>
            <a:buFont typeface="+mj-lt"/>
            <a:buAutoNum type="arabicPeriod"/>
          </a:pPr>
          <a:r>
            <a:rPr lang="en-US" sz="1100" baseline="0"/>
            <a:t>Comments added to the worksheet provide help on using the Fish Bioaccumulation ADME Calculator. Click on red triangles.</a:t>
          </a:r>
        </a:p>
        <a:p>
          <a:pPr marL="228600" indent="-228600">
            <a:spcAft>
              <a:spcPts val="300"/>
            </a:spcAft>
            <a:buFont typeface="+mj-lt"/>
            <a:buAutoNum type="arabicPeriod"/>
          </a:pPr>
          <a:r>
            <a:rPr lang="en-US" sz="1100" baseline="0"/>
            <a:t>ID means that the ADME-B calculator cannot determine the metric. ID = Indeterminable.</a:t>
          </a:r>
        </a:p>
        <a:p>
          <a:pPr marL="228600" indent="-228600">
            <a:spcAft>
              <a:spcPts val="300"/>
            </a:spcAft>
            <a:buFont typeface="+mj-lt"/>
            <a:buAutoNum type="arabicPeriod"/>
          </a:pPr>
          <a:r>
            <a:rPr lang="en-US" sz="1100" baseline="0"/>
            <a:t>NA  means non-applicable.</a:t>
          </a:r>
          <a:endParaRPr lang="en-US" sz="1100"/>
        </a:p>
        <a:p>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b="1"/>
            <a:t>Domain of Applicability:</a:t>
          </a:r>
        </a:p>
        <a:p>
          <a:endParaRPr lang="en-US" sz="1100" b="0"/>
        </a:p>
        <a:p>
          <a:r>
            <a:rPr lang="en-US" sz="1100" b="0"/>
            <a:t>The </a:t>
          </a:r>
          <a:r>
            <a:rPr lang="en-US" sz="1100" baseline="0"/>
            <a:t>Fish Bioaccumulation </a:t>
          </a:r>
          <a:r>
            <a:rPr lang="en-US" sz="1100"/>
            <a:t>ADME Calculator </a:t>
          </a:r>
          <a:r>
            <a:rPr lang="en-US" sz="1100" b="0" baseline="0"/>
            <a:t>is developed for non-ionic hydrophobic organic chemicals with a  </a:t>
          </a:r>
          <a:r>
            <a:rPr lang="en-US" sz="1100" b="0" baseline="0">
              <a:solidFill>
                <a:sysClr val="windowText" lastClr="000000"/>
              </a:solidFill>
            </a:rPr>
            <a:t>log Kow between approximately 3 and 9.2</a:t>
          </a:r>
          <a:r>
            <a:rPr lang="en-US" sz="1100" b="0" baseline="0"/>
            <a:t>. </a:t>
          </a:r>
          <a:endParaRPr lang="en-US" sz="1100" b="0"/>
        </a:p>
        <a:p>
          <a:endParaRPr lang="en-US" sz="1100" b="1"/>
        </a:p>
        <a:p>
          <a:pPr marL="0" indent="0">
            <a:buFontTx/>
            <a:buNone/>
          </a:pPr>
          <a:r>
            <a:rPr lang="en-US" sz="1100" b="1">
              <a:latin typeface="+mn-lt"/>
            </a:rPr>
            <a:t>Please</a:t>
          </a:r>
          <a:r>
            <a:rPr lang="en-US" sz="1100" b="1" baseline="0">
              <a:latin typeface="+mn-lt"/>
            </a:rPr>
            <a:t> cite this model as: </a:t>
          </a:r>
        </a:p>
        <a:p>
          <a:pPr marL="0" indent="0">
            <a:buFontTx/>
            <a:buNone/>
          </a:pPr>
          <a:endParaRPr lang="en-US" sz="1100" b="1" baseline="0">
            <a:latin typeface="+mn-lt"/>
          </a:endParaRPr>
        </a:p>
        <a:p>
          <a:pPr marL="0" indent="0">
            <a:buFontTx/>
            <a:buNone/>
          </a:pPr>
          <a:r>
            <a:rPr lang="en-US" sz="1100">
              <a:latin typeface="+mn-lt"/>
            </a:rPr>
            <a:t>Gobas, F.A.P.C.</a:t>
          </a:r>
          <a:r>
            <a:rPr lang="en-US" sz="1100" baseline="0">
              <a:latin typeface="+mn-lt"/>
            </a:rPr>
            <a:t>, Lee, Y., Lo, J.C. 2019. Fish Bioaccumulation ADME Calculator for OECD 305 Dietary Bioaccumulation Tests in Fish: Excel Model Version 1.15</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63500</xdr:colOff>
      <xdr:row>29</xdr:row>
      <xdr:rowOff>25400</xdr:rowOff>
    </xdr:from>
    <xdr:to>
      <xdr:col>10</xdr:col>
      <xdr:colOff>4870450</xdr:colOff>
      <xdr:row>42</xdr:row>
      <xdr:rowOff>76200</xdr:rowOff>
    </xdr:to>
    <xdr:graphicFrame macro="">
      <xdr:nvGraphicFramePr>
        <xdr:cNvPr id="3" name="圖表 5">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1</xdr:col>
      <xdr:colOff>1009266</xdr:colOff>
      <xdr:row>35</xdr:row>
      <xdr:rowOff>98214</xdr:rowOff>
    </xdr:to>
    <xdr:grpSp>
      <xdr:nvGrpSpPr>
        <xdr:cNvPr id="15" name="群組 14">
          <a:extLst>
            <a:ext uri="{FF2B5EF4-FFF2-40B4-BE49-F238E27FC236}">
              <a16:creationId xmlns:a16="http://schemas.microsoft.com/office/drawing/2014/main" id="{00000000-0008-0000-0200-00000F000000}"/>
            </a:ext>
          </a:extLst>
        </xdr:cNvPr>
        <xdr:cNvGrpSpPr/>
      </xdr:nvGrpSpPr>
      <xdr:grpSpPr>
        <a:xfrm>
          <a:off x="0" y="2600325"/>
          <a:ext cx="3895341" cy="3336714"/>
          <a:chOff x="0" y="1637632"/>
          <a:chExt cx="4023845" cy="3440319"/>
        </a:xfrm>
      </xdr:grpSpPr>
      <xdr:graphicFrame macro="">
        <xdr:nvGraphicFramePr>
          <xdr:cNvPr id="4" name="flux.detailed.BMF">
            <a:extLst>
              <a:ext uri="{FF2B5EF4-FFF2-40B4-BE49-F238E27FC236}">
                <a16:creationId xmlns:a16="http://schemas.microsoft.com/office/drawing/2014/main" id="{00000000-0008-0000-0200-000004000000}"/>
              </a:ext>
            </a:extLst>
          </xdr:cNvPr>
          <xdr:cNvGraphicFramePr>
            <a:graphicFrameLocks/>
          </xdr:cNvGraphicFramePr>
        </xdr:nvGraphicFramePr>
        <xdr:xfrm>
          <a:off x="0" y="1637632"/>
          <a:ext cx="4023845" cy="3440319"/>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9" name="群組 8">
            <a:extLst>
              <a:ext uri="{FF2B5EF4-FFF2-40B4-BE49-F238E27FC236}">
                <a16:creationId xmlns:a16="http://schemas.microsoft.com/office/drawing/2014/main" id="{00000000-0008-0000-0200-000009000000}"/>
              </a:ext>
            </a:extLst>
          </xdr:cNvPr>
          <xdr:cNvGrpSpPr/>
        </xdr:nvGrpSpPr>
        <xdr:grpSpPr>
          <a:xfrm>
            <a:off x="1129645" y="1637632"/>
            <a:ext cx="1249948" cy="347578"/>
            <a:chOff x="1129645" y="1624264"/>
            <a:chExt cx="1249948" cy="394365"/>
          </a:xfrm>
        </xdr:grpSpPr>
        <xdr:sp macro="" textlink="">
          <xdr:nvSpPr>
            <xdr:cNvPr id="8" name="矩形 7">
              <a:extLst>
                <a:ext uri="{FF2B5EF4-FFF2-40B4-BE49-F238E27FC236}">
                  <a16:creationId xmlns:a16="http://schemas.microsoft.com/office/drawing/2014/main" id="{00000000-0008-0000-0200-000008000000}"/>
                </a:ext>
              </a:extLst>
            </xdr:cNvPr>
            <xdr:cNvSpPr/>
          </xdr:nvSpPr>
          <xdr:spPr>
            <a:xfrm>
              <a:off x="1129645" y="1657682"/>
              <a:ext cx="1249948" cy="360947"/>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sp macro="" textlink="">
          <xdr:nvSpPr>
            <xdr:cNvPr id="2" name="文字方塊 1">
              <a:extLst>
                <a:ext uri="{FF2B5EF4-FFF2-40B4-BE49-F238E27FC236}">
                  <a16:creationId xmlns:a16="http://schemas.microsoft.com/office/drawing/2014/main" id="{00000000-0008-0000-0200-000002000000}"/>
                </a:ext>
              </a:extLst>
            </xdr:cNvPr>
            <xdr:cNvSpPr txBox="1"/>
          </xdr:nvSpPr>
          <xdr:spPr>
            <a:xfrm>
              <a:off x="1183105" y="1624264"/>
              <a:ext cx="1096211" cy="213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zh-TW" sz="1100" b="1" baseline="0">
                  <a:latin typeface="Times New Roman" panose="02020603050405020304" pitchFamily="18" charset="0"/>
                  <a:cs typeface="Times New Roman" panose="02020603050405020304" pitchFamily="18" charset="0"/>
                </a:rPr>
                <a:t>BCF </a:t>
              </a:r>
              <a:endParaRPr lang="zh-TW" altLang="en-US" sz="1100" b="1" baseline="0">
                <a:latin typeface="Times New Roman" panose="02020603050405020304" pitchFamily="18" charset="0"/>
                <a:cs typeface="Times New Roman" panose="02020603050405020304" pitchFamily="18" charset="0"/>
              </a:endParaRPr>
            </a:p>
          </xdr:txBody>
        </xdr:sp>
        <xdr:sp macro="" textlink="BCFBAF.t">
          <xdr:nvSpPr>
            <xdr:cNvPr id="6" name="TextBox 1">
              <a:extLst>
                <a:ext uri="{FF2B5EF4-FFF2-40B4-BE49-F238E27FC236}">
                  <a16:creationId xmlns:a16="http://schemas.microsoft.com/office/drawing/2014/main" id="{00000000-0008-0000-0200-000006000000}"/>
                </a:ext>
              </a:extLst>
            </xdr:cNvPr>
            <xdr:cNvSpPr txBox="1"/>
          </xdr:nvSpPr>
          <xdr:spPr>
            <a:xfrm>
              <a:off x="1176422" y="1838158"/>
              <a:ext cx="614948" cy="160421"/>
            </a:xfrm>
            <a:prstGeom prst="rect">
              <a:avLst/>
            </a:prstGeom>
            <a:noFill/>
            <a:ln w="9525">
              <a:noFill/>
            </a:ln>
          </xdr:spPr>
          <xdr:txBody>
            <a:bodyPr wrap="square"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fld id="{DA51DAAF-817C-4F60-A51C-DBE9715BEB52}" type="TxLink">
                <a:rPr lang="en-US" altLang="en-US" sz="1000" b="0" i="0" u="none" strike="noStrike">
                  <a:solidFill>
                    <a:srgbClr val="000000"/>
                  </a:solidFill>
                  <a:latin typeface="Calibri"/>
                  <a:cs typeface="Calibri"/>
                </a:rPr>
                <a:pPr/>
                <a:t>2701.7</a:t>
              </a:fld>
              <a:endParaRPr lang="en-US" sz="1100">
                <a:latin typeface="Arial" pitchFamily="34" charset="0"/>
                <a:cs typeface="Arial" pitchFamily="34" charset="0"/>
              </a:endParaRPr>
            </a:p>
          </xdr:txBody>
        </xdr:sp>
        <xdr:sp macro="" textlink="">
          <xdr:nvSpPr>
            <xdr:cNvPr id="7" name="文字方塊 6">
              <a:extLst>
                <a:ext uri="{FF2B5EF4-FFF2-40B4-BE49-F238E27FC236}">
                  <a16:creationId xmlns:a16="http://schemas.microsoft.com/office/drawing/2014/main" id="{00000000-0008-0000-0200-000007000000}"/>
                </a:ext>
              </a:extLst>
            </xdr:cNvPr>
            <xdr:cNvSpPr txBox="1"/>
          </xdr:nvSpPr>
          <xdr:spPr>
            <a:xfrm>
              <a:off x="1644317" y="1824789"/>
              <a:ext cx="715210" cy="167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zh-TW" sz="1000" b="0" baseline="0">
                  <a:latin typeface="Calibri" panose="020F0502020204030204" pitchFamily="34" charset="0"/>
                  <a:cs typeface="Calibri" panose="020F0502020204030204" pitchFamily="34" charset="0"/>
                </a:rPr>
                <a:t>L/kg ww</a:t>
              </a:r>
              <a:endParaRPr lang="zh-TW" altLang="en-US" sz="1000" b="0" baseline="0">
                <a:latin typeface="Calibri" panose="020F0502020204030204" pitchFamily="34" charset="0"/>
                <a:cs typeface="Calibri" panose="020F0502020204030204" pitchFamily="34" charset="0"/>
              </a:endParaRPr>
            </a:p>
          </xdr:txBody>
        </xdr:sp>
      </xdr:grpSp>
    </xdr:grpSp>
    <xdr:clientData/>
  </xdr:twoCellAnchor>
  <xdr:twoCellAnchor>
    <xdr:from>
      <xdr:col>2</xdr:col>
      <xdr:colOff>0</xdr:colOff>
      <xdr:row>15</xdr:row>
      <xdr:rowOff>0</xdr:rowOff>
    </xdr:from>
    <xdr:to>
      <xdr:col>7</xdr:col>
      <xdr:colOff>596516</xdr:colOff>
      <xdr:row>35</xdr:row>
      <xdr:rowOff>98214</xdr:rowOff>
    </xdr:to>
    <xdr:grpSp>
      <xdr:nvGrpSpPr>
        <xdr:cNvPr id="16" name="群組 15">
          <a:extLst>
            <a:ext uri="{FF2B5EF4-FFF2-40B4-BE49-F238E27FC236}">
              <a16:creationId xmlns:a16="http://schemas.microsoft.com/office/drawing/2014/main" id="{00000000-0008-0000-0200-000010000000}"/>
            </a:ext>
          </a:extLst>
        </xdr:cNvPr>
        <xdr:cNvGrpSpPr/>
      </xdr:nvGrpSpPr>
      <xdr:grpSpPr>
        <a:xfrm>
          <a:off x="4600575" y="2600325"/>
          <a:ext cx="3901691" cy="3336714"/>
          <a:chOff x="4799263" y="1637632"/>
          <a:chExt cx="4045569" cy="3440319"/>
        </a:xfrm>
      </xdr:grpSpPr>
      <xdr:graphicFrame macro="">
        <xdr:nvGraphicFramePr>
          <xdr:cNvPr id="5" name="flux.detailed.BMF">
            <a:extLst>
              <a:ext uri="{FF2B5EF4-FFF2-40B4-BE49-F238E27FC236}">
                <a16:creationId xmlns:a16="http://schemas.microsoft.com/office/drawing/2014/main" id="{00000000-0008-0000-0200-000005000000}"/>
              </a:ext>
            </a:extLst>
          </xdr:cNvPr>
          <xdr:cNvGraphicFramePr>
            <a:graphicFrameLocks/>
          </xdr:cNvGraphicFramePr>
        </xdr:nvGraphicFramePr>
        <xdr:xfrm>
          <a:off x="4799263" y="1637632"/>
          <a:ext cx="4045569" cy="344031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10" name="群組 9">
            <a:extLst>
              <a:ext uri="{FF2B5EF4-FFF2-40B4-BE49-F238E27FC236}">
                <a16:creationId xmlns:a16="http://schemas.microsoft.com/office/drawing/2014/main" id="{00000000-0008-0000-0200-00000A000000}"/>
              </a:ext>
            </a:extLst>
          </xdr:cNvPr>
          <xdr:cNvGrpSpPr/>
        </xdr:nvGrpSpPr>
        <xdr:grpSpPr>
          <a:xfrm>
            <a:off x="5935584" y="1637633"/>
            <a:ext cx="1249948" cy="347578"/>
            <a:chOff x="1129645" y="1624264"/>
            <a:chExt cx="1249948" cy="394365"/>
          </a:xfrm>
        </xdr:grpSpPr>
        <xdr:sp macro="" textlink="">
          <xdr:nvSpPr>
            <xdr:cNvPr id="11" name="矩形 10">
              <a:extLst>
                <a:ext uri="{FF2B5EF4-FFF2-40B4-BE49-F238E27FC236}">
                  <a16:creationId xmlns:a16="http://schemas.microsoft.com/office/drawing/2014/main" id="{00000000-0008-0000-0200-00000B000000}"/>
                </a:ext>
              </a:extLst>
            </xdr:cNvPr>
            <xdr:cNvSpPr/>
          </xdr:nvSpPr>
          <xdr:spPr>
            <a:xfrm>
              <a:off x="1129645" y="1657682"/>
              <a:ext cx="1249948" cy="360947"/>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sp macro="" textlink="">
          <xdr:nvSpPr>
            <xdr:cNvPr id="12" name="文字方塊 11">
              <a:extLst>
                <a:ext uri="{FF2B5EF4-FFF2-40B4-BE49-F238E27FC236}">
                  <a16:creationId xmlns:a16="http://schemas.microsoft.com/office/drawing/2014/main" id="{00000000-0008-0000-0200-00000C000000}"/>
                </a:ext>
              </a:extLst>
            </xdr:cNvPr>
            <xdr:cNvSpPr txBox="1"/>
          </xdr:nvSpPr>
          <xdr:spPr>
            <a:xfrm>
              <a:off x="1183105" y="1624264"/>
              <a:ext cx="1096211" cy="213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zh-TW" sz="1100" b="1" baseline="0">
                  <a:latin typeface="Times New Roman" panose="02020603050405020304" pitchFamily="18" charset="0"/>
                  <a:cs typeface="Times New Roman" panose="02020603050405020304" pitchFamily="18" charset="0"/>
                </a:rPr>
                <a:t>BAF</a:t>
              </a:r>
              <a:endParaRPr lang="zh-TW" altLang="en-US" sz="1100" b="1" baseline="0">
                <a:latin typeface="Times New Roman" panose="02020603050405020304" pitchFamily="18" charset="0"/>
                <a:cs typeface="Times New Roman" panose="02020603050405020304" pitchFamily="18" charset="0"/>
              </a:endParaRPr>
            </a:p>
          </xdr:txBody>
        </xdr:sp>
        <xdr:sp macro="" textlink="BCFBAF.f">
          <xdr:nvSpPr>
            <xdr:cNvPr id="13" name="TextBox 1">
              <a:extLst>
                <a:ext uri="{FF2B5EF4-FFF2-40B4-BE49-F238E27FC236}">
                  <a16:creationId xmlns:a16="http://schemas.microsoft.com/office/drawing/2014/main" id="{00000000-0008-0000-0200-00000D000000}"/>
                </a:ext>
              </a:extLst>
            </xdr:cNvPr>
            <xdr:cNvSpPr txBox="1"/>
          </xdr:nvSpPr>
          <xdr:spPr>
            <a:xfrm>
              <a:off x="1176422" y="1838158"/>
              <a:ext cx="614948" cy="160421"/>
            </a:xfrm>
            <a:prstGeom prst="rect">
              <a:avLst/>
            </a:prstGeom>
            <a:noFill/>
            <a:ln w="9525">
              <a:noFill/>
            </a:ln>
          </xdr:spPr>
          <xdr:txBody>
            <a:bodyPr wrap="square"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fld id="{E6FF1C08-19F3-458B-AD65-75ECB878627F}" type="TxLink">
                <a:rPr lang="en-US" altLang="en-US" sz="1000" b="0" i="0" u="none" strike="noStrike">
                  <a:solidFill>
                    <a:srgbClr val="000000"/>
                  </a:solidFill>
                  <a:latin typeface="Calibri"/>
                  <a:cs typeface="Calibri"/>
                </a:rPr>
                <a:pPr/>
                <a:t>2929.9</a:t>
              </a:fld>
              <a:endParaRPr lang="en-US" sz="1100">
                <a:latin typeface="Arial" pitchFamily="34" charset="0"/>
                <a:cs typeface="Arial" pitchFamily="34" charset="0"/>
              </a:endParaRPr>
            </a:p>
          </xdr:txBody>
        </xdr:sp>
        <xdr:sp macro="" textlink="">
          <xdr:nvSpPr>
            <xdr:cNvPr id="14" name="文字方塊 13">
              <a:extLst>
                <a:ext uri="{FF2B5EF4-FFF2-40B4-BE49-F238E27FC236}">
                  <a16:creationId xmlns:a16="http://schemas.microsoft.com/office/drawing/2014/main" id="{00000000-0008-0000-0200-00000E000000}"/>
                </a:ext>
              </a:extLst>
            </xdr:cNvPr>
            <xdr:cNvSpPr txBox="1"/>
          </xdr:nvSpPr>
          <xdr:spPr>
            <a:xfrm>
              <a:off x="1644317" y="1824789"/>
              <a:ext cx="715210" cy="167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zh-TW" sz="1000" b="0" baseline="0">
                  <a:latin typeface="Calibri" panose="020F0502020204030204" pitchFamily="34" charset="0"/>
                  <a:cs typeface="Calibri" panose="020F0502020204030204" pitchFamily="34" charset="0"/>
                </a:rPr>
                <a:t>L/kg ww</a:t>
              </a:r>
              <a:endParaRPr lang="zh-TW" altLang="en-US" sz="1000" b="0" baseline="0">
                <a:latin typeface="Calibri" panose="020F0502020204030204" pitchFamily="34" charset="0"/>
                <a:cs typeface="Calibri" panose="020F0502020204030204" pitchFamily="34" charset="0"/>
              </a:endParaRPr>
            </a:p>
          </xdr:txBody>
        </xdr:sp>
      </xdr:grpSp>
    </xdr:grpSp>
    <xdr:clientData/>
  </xdr:twoCellAnchor>
</xdr:wsDr>
</file>

<file path=xl/drawings/drawing4.xml><?xml version="1.0" encoding="utf-8"?>
<c:userShapes xmlns:c="http://schemas.openxmlformats.org/drawingml/2006/chart">
  <cdr:relSizeAnchor xmlns:cdr="http://schemas.openxmlformats.org/drawingml/2006/chartDrawing">
    <cdr:from>
      <cdr:x>0.10154</cdr:x>
      <cdr:y>0.82669</cdr:y>
    </cdr:from>
    <cdr:to>
      <cdr:x>0.21782</cdr:x>
      <cdr:y>0.87784</cdr:y>
    </cdr:to>
    <cdr:sp macro="" textlink="FI.t">
      <cdr:nvSpPr>
        <cdr:cNvPr id="3" name="TextBox 2"/>
        <cdr:cNvSpPr txBox="1"/>
      </cdr:nvSpPr>
      <cdr:spPr>
        <a:xfrm xmlns:a="http://schemas.openxmlformats.org/drawingml/2006/main">
          <a:off x="404882" y="3180486"/>
          <a:ext cx="463657" cy="196787"/>
        </a:xfrm>
        <a:prstGeom xmlns:a="http://schemas.openxmlformats.org/drawingml/2006/main" prst="rect">
          <a:avLst/>
        </a:prstGeom>
        <a:solidFill xmlns:a="http://schemas.openxmlformats.org/drawingml/2006/main">
          <a:srgbClr val="FFFF99">
            <a:alpha val="80000"/>
          </a:srgbClr>
        </a:solidFill>
        <a:ln xmlns:a="http://schemas.openxmlformats.org/drawingml/2006/main" w="9525">
          <a:solidFill>
            <a:schemeClr val="tx1">
              <a:lumMod val="50000"/>
              <a:lumOff val="50000"/>
            </a:schemeClr>
          </a:solidFill>
        </a:ln>
      </cdr:spPr>
      <cdr:txBody>
        <a:bodyPr xmlns:a="http://schemas.openxmlformats.org/drawingml/2006/main" vertOverflow="clip" wrap="none" rtlCol="0" anchor="ctr" anchorCtr="1"/>
        <a:lstStyle xmlns:a="http://schemas.openxmlformats.org/drawingml/2006/main"/>
        <a:p xmlns:a="http://schemas.openxmlformats.org/drawingml/2006/main">
          <a:fld id="{60C94163-6AA0-4C41-AF13-60977B8FD7F3}" type="TxLink">
            <a:rPr lang="en-US" altLang="en-US" sz="1000" b="0" i="0" u="none" strike="noStrike">
              <a:solidFill>
                <a:srgbClr val="000000"/>
              </a:solidFill>
              <a:latin typeface="Calibri"/>
              <a:cs typeface="Calibri"/>
            </a:rPr>
            <a:pPr/>
            <a:t>100%</a:t>
          </a:fld>
          <a:endParaRPr lang="en-US" sz="1100">
            <a:latin typeface="Arial" pitchFamily="34" charset="0"/>
            <a:cs typeface="Arial" pitchFamily="34" charset="0"/>
          </a:endParaRPr>
        </a:p>
      </cdr:txBody>
    </cdr:sp>
  </cdr:relSizeAnchor>
  <cdr:relSizeAnchor xmlns:cdr="http://schemas.openxmlformats.org/drawingml/2006/chartDrawing">
    <cdr:from>
      <cdr:x>0.11077</cdr:x>
      <cdr:y>0.46761</cdr:y>
    </cdr:from>
    <cdr:to>
      <cdr:x>0.22705</cdr:x>
      <cdr:y>0.51876</cdr:y>
    </cdr:to>
    <cdr:sp macro="" textlink="GB.t">
      <cdr:nvSpPr>
        <cdr:cNvPr id="5" name="TextBox 1"/>
        <cdr:cNvSpPr txBox="1"/>
      </cdr:nvSpPr>
      <cdr:spPr>
        <a:xfrm xmlns:a="http://schemas.openxmlformats.org/drawingml/2006/main">
          <a:off x="435554" y="1838608"/>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F5B9DA2-2632-4441-B30E-B2988B01A9EE}" type="TxLink">
            <a:rPr lang="en-US" altLang="en-US" sz="1000" b="0" i="0" u="none" strike="noStrike">
              <a:solidFill>
                <a:srgbClr val="000000"/>
              </a:solidFill>
              <a:latin typeface="Calibri"/>
              <a:cs typeface="Calibri"/>
            </a:rPr>
            <a:pPr/>
            <a:t>18.89%</a:t>
          </a:fld>
          <a:endParaRPr lang="en-US" sz="1100">
            <a:latin typeface="Arial" pitchFamily="34" charset="0"/>
            <a:cs typeface="Arial" pitchFamily="34" charset="0"/>
          </a:endParaRPr>
        </a:p>
      </cdr:txBody>
    </cdr:sp>
  </cdr:relSizeAnchor>
  <cdr:relSizeAnchor xmlns:cdr="http://schemas.openxmlformats.org/drawingml/2006/chartDrawing">
    <cdr:from>
      <cdr:x>0.37222</cdr:x>
      <cdr:y>0.6658</cdr:y>
    </cdr:from>
    <cdr:to>
      <cdr:x>0.4885</cdr:x>
      <cdr:y>0.71695</cdr:y>
    </cdr:to>
    <cdr:sp macro="" textlink="GM.t">
      <cdr:nvSpPr>
        <cdr:cNvPr id="6" name="TextBox 1"/>
        <cdr:cNvSpPr txBox="1"/>
      </cdr:nvSpPr>
      <cdr:spPr>
        <a:xfrm xmlns:a="http://schemas.openxmlformats.org/drawingml/2006/main">
          <a:off x="1463556" y="2617875"/>
          <a:ext cx="457200" cy="201103"/>
        </a:xfrm>
        <a:prstGeom xmlns:a="http://schemas.openxmlformats.org/drawingml/2006/main" prst="rect">
          <a:avLst/>
        </a:prstGeom>
        <a:solidFill xmlns:a="http://schemas.openxmlformats.org/drawingml/2006/main">
          <a:schemeClr val="accent2">
            <a:lumMod val="40000"/>
            <a:lumOff val="60000"/>
            <a:alpha val="80000"/>
          </a:schemeClr>
        </a:solidFill>
        <a:ln xmlns:a="http://schemas.openxmlformats.org/drawingml/2006/main" w="9525">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FF3CAE9-5410-4390-9820-CF48433BECBF}" type="TxLink">
            <a:rPr lang="en-US" altLang="en-US" sz="1000" b="0" i="0" u="none" strike="noStrike">
              <a:solidFill>
                <a:srgbClr val="000000"/>
              </a:solidFill>
              <a:latin typeface="Calibri"/>
              <a:cs typeface="Calibri"/>
            </a:rPr>
            <a:pPr/>
            <a:t>65.69%</a:t>
          </a:fld>
          <a:endParaRPr lang="en-US" sz="1100">
            <a:latin typeface="Arial" pitchFamily="34" charset="0"/>
            <a:cs typeface="Arial" pitchFamily="34" charset="0"/>
          </a:endParaRPr>
        </a:p>
      </cdr:txBody>
    </cdr:sp>
  </cdr:relSizeAnchor>
  <cdr:relSizeAnchor xmlns:cdr="http://schemas.openxmlformats.org/drawingml/2006/chartDrawing">
    <cdr:from>
      <cdr:x>0.63792</cdr:x>
      <cdr:y>0.83063</cdr:y>
    </cdr:from>
    <cdr:to>
      <cdr:x>0.7542</cdr:x>
      <cdr:y>0.88178</cdr:y>
    </cdr:to>
    <cdr:sp macro="" textlink="GE.t">
      <cdr:nvSpPr>
        <cdr:cNvPr id="8" name="TextBox 1"/>
        <cdr:cNvSpPr txBox="1"/>
      </cdr:nvSpPr>
      <cdr:spPr>
        <a:xfrm xmlns:a="http://schemas.openxmlformats.org/drawingml/2006/main">
          <a:off x="2508266" y="3265973"/>
          <a:ext cx="457200" cy="201103"/>
        </a:xfrm>
        <a:prstGeom xmlns:a="http://schemas.openxmlformats.org/drawingml/2006/main" prst="rect">
          <a:avLst/>
        </a:prstGeom>
        <a:solidFill xmlns:a="http://schemas.openxmlformats.org/drawingml/2006/main">
          <a:schemeClr val="accent2">
            <a:lumMod val="40000"/>
            <a:lumOff val="60000"/>
            <a:alpha val="80000"/>
          </a:schemeClr>
        </a:solidFill>
        <a:ln xmlns:a="http://schemas.openxmlformats.org/drawingml/2006/main" w="9525">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651E252-430E-4E22-A20F-D8E710983B56}" type="TxLink">
            <a:rPr lang="en-US" altLang="en-US" sz="1000" b="0" i="0" u="none" strike="noStrike">
              <a:solidFill>
                <a:srgbClr val="000000"/>
              </a:solidFill>
              <a:latin typeface="Calibri"/>
              <a:cs typeface="Calibri"/>
            </a:rPr>
            <a:pPr/>
            <a:t>17.08%</a:t>
          </a:fld>
          <a:endParaRPr lang="en-US" sz="1100">
            <a:latin typeface="Arial" pitchFamily="34" charset="0"/>
            <a:cs typeface="Arial" pitchFamily="34" charset="0"/>
          </a:endParaRPr>
        </a:p>
      </cdr:txBody>
    </cdr:sp>
  </cdr:relSizeAnchor>
  <cdr:relSizeAnchor xmlns:cdr="http://schemas.openxmlformats.org/drawingml/2006/chartDrawing">
    <cdr:from>
      <cdr:x>0.3701</cdr:x>
      <cdr:y>0.28394</cdr:y>
    </cdr:from>
    <cdr:to>
      <cdr:x>0.48638</cdr:x>
      <cdr:y>0.33509</cdr:y>
    </cdr:to>
    <cdr:sp macro="" textlink="BM.t">
      <cdr:nvSpPr>
        <cdr:cNvPr id="9" name="TextBox 1"/>
        <cdr:cNvSpPr txBox="1"/>
      </cdr:nvSpPr>
      <cdr:spPr>
        <a:xfrm xmlns:a="http://schemas.openxmlformats.org/drawingml/2006/main">
          <a:off x="1455219" y="1116432"/>
          <a:ext cx="457200" cy="201103"/>
        </a:xfrm>
        <a:prstGeom xmlns:a="http://schemas.openxmlformats.org/drawingml/2006/main" prst="rect">
          <a:avLst/>
        </a:prstGeom>
        <a:solidFill xmlns:a="http://schemas.openxmlformats.org/drawingml/2006/main">
          <a:schemeClr val="accent2">
            <a:lumMod val="40000"/>
            <a:lumOff val="60000"/>
            <a:alpha val="80000"/>
          </a:schemeClr>
        </a:solidFill>
        <a:ln xmlns:a="http://schemas.openxmlformats.org/drawingml/2006/main" w="9525">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798D786-9EA5-4F33-B609-7608455F14D7}" type="TxLink">
            <a:rPr lang="en-US" altLang="en-US" sz="1000" b="0" i="0" u="none" strike="noStrike">
              <a:solidFill>
                <a:srgbClr val="000000"/>
              </a:solidFill>
              <a:latin typeface="Calibri"/>
              <a:cs typeface="Calibri"/>
            </a:rPr>
            <a:pPr/>
            <a:t>12.72%</a:t>
          </a:fld>
          <a:endParaRPr lang="en-US" sz="1100">
            <a:latin typeface="Arial" pitchFamily="34" charset="0"/>
            <a:cs typeface="Arial" pitchFamily="34" charset="0"/>
          </a:endParaRPr>
        </a:p>
      </cdr:txBody>
    </cdr:sp>
  </cdr:relSizeAnchor>
  <cdr:relSizeAnchor xmlns:cdr="http://schemas.openxmlformats.org/drawingml/2006/chartDrawing">
    <cdr:from>
      <cdr:x>0.10865</cdr:x>
      <cdr:y>0.10243</cdr:y>
    </cdr:from>
    <cdr:to>
      <cdr:x>0.22493</cdr:x>
      <cdr:y>0.15358</cdr:y>
    </cdr:to>
    <cdr:sp macro="" textlink="BE.t">
      <cdr:nvSpPr>
        <cdr:cNvPr id="10" name="TextBox 1"/>
        <cdr:cNvSpPr txBox="1"/>
      </cdr:nvSpPr>
      <cdr:spPr>
        <a:xfrm xmlns:a="http://schemas.openxmlformats.org/drawingml/2006/main">
          <a:off x="427218" y="402749"/>
          <a:ext cx="457200" cy="201103"/>
        </a:xfrm>
        <a:prstGeom xmlns:a="http://schemas.openxmlformats.org/drawingml/2006/main" prst="rect">
          <a:avLst/>
        </a:prstGeom>
        <a:solidFill xmlns:a="http://schemas.openxmlformats.org/drawingml/2006/main">
          <a:schemeClr val="accent2">
            <a:lumMod val="40000"/>
            <a:lumOff val="60000"/>
            <a:alpha val="80000"/>
          </a:schemeClr>
        </a:solidFill>
        <a:ln xmlns:a="http://schemas.openxmlformats.org/drawingml/2006/main" w="9525">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D79AC8E-4891-42A2-83F1-678A00EC101C}" type="TxLink">
            <a:rPr lang="en-US" altLang="en-US" sz="1000" b="0" i="0" u="none" strike="noStrike">
              <a:solidFill>
                <a:srgbClr val="000000"/>
              </a:solidFill>
              <a:latin typeface="Calibri"/>
              <a:cs typeface="Calibri"/>
            </a:rPr>
            <a:pPr/>
            <a:t>1.58%</a:t>
          </a:fld>
          <a:endParaRPr lang="en-US" sz="1100">
            <a:latin typeface="Arial" pitchFamily="34" charset="0"/>
            <a:cs typeface="Arial" pitchFamily="34" charset="0"/>
          </a:endParaRPr>
        </a:p>
      </cdr:txBody>
    </cdr:sp>
  </cdr:relSizeAnchor>
  <cdr:relSizeAnchor xmlns:cdr="http://schemas.openxmlformats.org/drawingml/2006/chartDrawing">
    <cdr:from>
      <cdr:x>0.8768</cdr:x>
      <cdr:y>0.16725</cdr:y>
    </cdr:from>
    <cdr:to>
      <cdr:x>0.99308</cdr:x>
      <cdr:y>0.2184</cdr:y>
    </cdr:to>
    <cdr:sp macro="" textlink="GD.t">
      <cdr:nvSpPr>
        <cdr:cNvPr id="11" name="TextBox 1"/>
        <cdr:cNvSpPr txBox="1"/>
      </cdr:nvSpPr>
      <cdr:spPr>
        <a:xfrm xmlns:a="http://schemas.openxmlformats.org/drawingml/2006/main">
          <a:off x="3447506" y="657616"/>
          <a:ext cx="457200" cy="201103"/>
        </a:xfrm>
        <a:prstGeom xmlns:a="http://schemas.openxmlformats.org/drawingml/2006/main" prst="rect">
          <a:avLst/>
        </a:prstGeom>
        <a:solidFill xmlns:a="http://schemas.openxmlformats.org/drawingml/2006/main">
          <a:schemeClr val="accent2">
            <a:lumMod val="40000"/>
            <a:lumOff val="60000"/>
            <a:alpha val="80000"/>
          </a:schemeClr>
        </a:solidFill>
        <a:ln xmlns:a="http://schemas.openxmlformats.org/drawingml/2006/main" w="9525">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D16A01E-E8E5-4D0C-B0D3-B4C4EA41B30E}" type="TxLink">
            <a:rPr lang="en-US" altLang="en-US" sz="1000" b="0" i="0" u="none" strike="noStrike">
              <a:solidFill>
                <a:srgbClr val="000000"/>
              </a:solidFill>
              <a:latin typeface="Calibri"/>
              <a:cs typeface="Calibri"/>
            </a:rPr>
            <a:pPr/>
            <a:t>2.92%</a:t>
          </a:fld>
          <a:endParaRPr lang="en-US" sz="1100">
            <a:latin typeface="Arial" pitchFamily="34" charset="0"/>
            <a:cs typeface="Arial" pitchFamily="34" charset="0"/>
          </a:endParaRPr>
        </a:p>
      </cdr:txBody>
    </cdr:sp>
  </cdr:relSizeAnchor>
  <cdr:relSizeAnchor xmlns:cdr="http://schemas.openxmlformats.org/drawingml/2006/chartDrawing">
    <cdr:from>
      <cdr:x>0.61749</cdr:x>
      <cdr:y>0.4606</cdr:y>
    </cdr:from>
    <cdr:to>
      <cdr:x>0.73377</cdr:x>
      <cdr:y>0.51175</cdr:y>
    </cdr:to>
    <cdr:sp macro="" textlink="BG.t">
      <cdr:nvSpPr>
        <cdr:cNvPr id="12" name="TextBox 1"/>
        <cdr:cNvSpPr txBox="1"/>
      </cdr:nvSpPr>
      <cdr:spPr>
        <a:xfrm xmlns:a="http://schemas.openxmlformats.org/drawingml/2006/main">
          <a:off x="2422968" y="1811036"/>
          <a:ext cx="456273" cy="201118"/>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83C3F37-B0B5-486E-8F56-AAB53B8502C6}" type="TxLink">
            <a:rPr lang="en-US" altLang="en-US" sz="1000" b="0" i="0" u="none" strike="noStrike">
              <a:solidFill>
                <a:srgbClr val="000000"/>
              </a:solidFill>
              <a:latin typeface="Calibri"/>
              <a:cs typeface="Calibri"/>
            </a:rPr>
            <a:pPr/>
            <a:t>1.66%</a:t>
          </a:fld>
          <a:endParaRPr lang="en-US" sz="1100">
            <a:latin typeface="Arial" pitchFamily="34" charset="0"/>
            <a:cs typeface="Arial" pitchFamily="34" charset="0"/>
          </a:endParaRPr>
        </a:p>
      </cdr:txBody>
    </cdr:sp>
  </cdr:relSizeAnchor>
  <cdr:relSizeAnchor xmlns:cdr="http://schemas.openxmlformats.org/drawingml/2006/chartDrawing">
    <cdr:from>
      <cdr:x>0.64625</cdr:x>
      <cdr:y>0.10534</cdr:y>
    </cdr:from>
    <cdr:to>
      <cdr:x>0.76253</cdr:x>
      <cdr:y>0.15649</cdr:y>
    </cdr:to>
    <cdr:sp macro="" textlink="GU.t">
      <cdr:nvSpPr>
        <cdr:cNvPr id="13" name="TextBox 1"/>
        <cdr:cNvSpPr txBox="1"/>
      </cdr:nvSpPr>
      <cdr:spPr>
        <a:xfrm xmlns:a="http://schemas.openxmlformats.org/drawingml/2006/main">
          <a:off x="2540988" y="414207"/>
          <a:ext cx="457200" cy="201103"/>
        </a:xfrm>
        <a:prstGeom xmlns:a="http://schemas.openxmlformats.org/drawingml/2006/main" prst="rect">
          <a:avLst/>
        </a:prstGeom>
        <a:solidFill xmlns:a="http://schemas.openxmlformats.org/drawingml/2006/main">
          <a:srgbClr val="FFFF99">
            <a:alpha val="80000"/>
          </a:srgbClr>
        </a:solidFill>
        <a:ln xmlns:a="http://schemas.openxmlformats.org/drawingml/2006/main" w="9525">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3DAB749-AB3B-43BE-B6C2-F6BF4C760BEF}" type="TxLink">
            <a:rPr lang="en-US" altLang="en-US" sz="1000" b="0" i="0" u="none" strike="noStrike">
              <a:solidFill>
                <a:srgbClr val="000000"/>
              </a:solidFill>
              <a:latin typeface="Calibri"/>
              <a:cs typeface="Calibri"/>
            </a:rPr>
            <a:pPr/>
            <a:t>0%</a:t>
          </a:fld>
          <a:endParaRPr lang="en-US" sz="1100">
            <a:latin typeface="Arial" pitchFamily="34" charset="0"/>
            <a:cs typeface="Arial" pitchFamily="34" charset="0"/>
          </a:endParaRPr>
        </a:p>
      </cdr:txBody>
    </cdr:sp>
  </cdr:relSizeAnchor>
  <cdr:relSizeAnchor xmlns:cdr="http://schemas.openxmlformats.org/drawingml/2006/chartDrawing">
    <cdr:from>
      <cdr:x>0.37222</cdr:x>
      <cdr:y>0.18022</cdr:y>
    </cdr:from>
    <cdr:to>
      <cdr:x>0.4885</cdr:x>
      <cdr:y>0.23137</cdr:y>
    </cdr:to>
    <cdr:sp macro="" textlink="GU.kB2.t">
      <cdr:nvSpPr>
        <cdr:cNvPr id="15" name="TextBox 1"/>
        <cdr:cNvSpPr txBox="1"/>
      </cdr:nvSpPr>
      <cdr:spPr>
        <a:xfrm xmlns:a="http://schemas.openxmlformats.org/drawingml/2006/main">
          <a:off x="1463556" y="708613"/>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99E09A3-2069-4EB6-B110-FE4CF841C51E}" type="TxLink">
            <a:rPr lang="en-US" altLang="en-US" sz="1000" b="0" i="0" u="none" strike="noStrike">
              <a:solidFill>
                <a:srgbClr val="000000"/>
              </a:solidFill>
              <a:latin typeface="Calibri"/>
              <a:cs typeface="Calibri"/>
            </a:rPr>
            <a:pPr/>
            <a:t>0.00%</a:t>
          </a:fld>
          <a:endParaRPr lang="en-US" sz="1100">
            <a:latin typeface="Arial" pitchFamily="34" charset="0"/>
            <a:cs typeface="Arial" pitchFamily="34" charset="0"/>
          </a:endParaRPr>
        </a:p>
      </cdr:txBody>
    </cdr:sp>
  </cdr:relSizeAnchor>
  <cdr:relSizeAnchor xmlns:cdr="http://schemas.openxmlformats.org/drawingml/2006/chartDrawing">
    <cdr:from>
      <cdr:x>0.6358</cdr:x>
      <cdr:y>0.29225</cdr:y>
    </cdr:from>
    <cdr:to>
      <cdr:x>0.75208</cdr:x>
      <cdr:y>0.3434</cdr:y>
    </cdr:to>
    <cdr:sp macro="" textlink="GU.kBG.t">
      <cdr:nvSpPr>
        <cdr:cNvPr id="16" name="TextBox 1"/>
        <cdr:cNvSpPr txBox="1"/>
      </cdr:nvSpPr>
      <cdr:spPr>
        <a:xfrm xmlns:a="http://schemas.openxmlformats.org/drawingml/2006/main">
          <a:off x="2499930" y="1149106"/>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01A5BFC-4253-4B11-9DC2-257416F01FC1}" type="TxLink">
            <a:rPr lang="en-US" altLang="en-US" sz="1000" b="0" i="0" u="none" strike="noStrike">
              <a:solidFill>
                <a:srgbClr val="000000"/>
              </a:solidFill>
              <a:latin typeface="Calibri"/>
              <a:cs typeface="Calibri"/>
            </a:rPr>
            <a:pPr/>
            <a:t>0.00%</a:t>
          </a:fld>
          <a:endParaRPr lang="en-US" sz="1100">
            <a:latin typeface="Arial" pitchFamily="34" charset="0"/>
            <a:cs typeface="Arial" pitchFamily="34" charset="0"/>
          </a:endParaRPr>
        </a:p>
      </cdr:txBody>
    </cdr:sp>
  </cdr:relSizeAnchor>
  <cdr:relSizeAnchor xmlns:cdr="http://schemas.openxmlformats.org/drawingml/2006/chartDrawing">
    <cdr:from>
      <cdr:x>0.53164</cdr:x>
      <cdr:y>0.23503</cdr:y>
    </cdr:from>
    <cdr:to>
      <cdr:x>0.64792</cdr:x>
      <cdr:y>0.28618</cdr:y>
    </cdr:to>
    <cdr:sp macro="" textlink="GU.kBM.t">
      <cdr:nvSpPr>
        <cdr:cNvPr id="17" name="TextBox 1"/>
        <cdr:cNvSpPr txBox="1"/>
      </cdr:nvSpPr>
      <cdr:spPr>
        <a:xfrm xmlns:a="http://schemas.openxmlformats.org/drawingml/2006/main">
          <a:off x="2090381" y="924122"/>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CFB939E-4EDC-440E-B4A6-05BA076A69C5}" type="TxLink">
            <a:rPr lang="en-US" altLang="en-US" sz="1000" b="0" i="0" u="none" strike="noStrike">
              <a:solidFill>
                <a:srgbClr val="000000"/>
              </a:solidFill>
              <a:latin typeface="Calibri"/>
              <a:cs typeface="Calibri"/>
            </a:rPr>
            <a:pPr/>
            <a:t>0.00%</a:t>
          </a:fld>
          <a:endParaRPr lang="en-US" sz="1100">
            <a:latin typeface="Arial" pitchFamily="34" charset="0"/>
            <a:cs typeface="Arial" pitchFamily="34" charset="0"/>
          </a:endParaRPr>
        </a:p>
      </cdr:txBody>
    </cdr:sp>
  </cdr:relSizeAnchor>
  <cdr:relSizeAnchor xmlns:cdr="http://schemas.openxmlformats.org/drawingml/2006/chartDrawing">
    <cdr:from>
      <cdr:x>0.10652</cdr:x>
      <cdr:y>0.29096</cdr:y>
    </cdr:from>
    <cdr:to>
      <cdr:x>0.2228</cdr:x>
      <cdr:y>0.34211</cdr:y>
    </cdr:to>
    <cdr:sp macro="" textlink="GB.kB2.t">
      <cdr:nvSpPr>
        <cdr:cNvPr id="18" name="TextBox 1"/>
        <cdr:cNvSpPr txBox="1"/>
      </cdr:nvSpPr>
      <cdr:spPr>
        <a:xfrm xmlns:a="http://schemas.openxmlformats.org/drawingml/2006/main">
          <a:off x="418843" y="1144034"/>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8A809E1-B1AD-45AE-8D0B-C149B19407F8}" type="TxLink">
            <a:rPr lang="en-US" altLang="en-US" sz="1000" b="0" i="0" u="none" strike="noStrike">
              <a:solidFill>
                <a:srgbClr val="000000"/>
              </a:solidFill>
              <a:latin typeface="Calibri"/>
              <a:cs typeface="Calibri"/>
            </a:rPr>
            <a:pPr/>
            <a:t>1.58%</a:t>
          </a:fld>
          <a:endParaRPr lang="en-US" sz="1100">
            <a:latin typeface="Arial" pitchFamily="34" charset="0"/>
            <a:cs typeface="Arial" pitchFamily="34" charset="0"/>
          </a:endParaRPr>
        </a:p>
      </cdr:txBody>
    </cdr:sp>
  </cdr:relSizeAnchor>
  <cdr:relSizeAnchor xmlns:cdr="http://schemas.openxmlformats.org/drawingml/2006/chartDrawing">
    <cdr:from>
      <cdr:x>0.37222</cdr:x>
      <cdr:y>0.40488</cdr:y>
    </cdr:from>
    <cdr:to>
      <cdr:x>0.4885</cdr:x>
      <cdr:y>0.45603</cdr:y>
    </cdr:to>
    <cdr:sp macro="" textlink="GB.kBG.t">
      <cdr:nvSpPr>
        <cdr:cNvPr id="19" name="TextBox 1"/>
        <cdr:cNvSpPr txBox="1"/>
      </cdr:nvSpPr>
      <cdr:spPr>
        <a:xfrm xmlns:a="http://schemas.openxmlformats.org/drawingml/2006/main">
          <a:off x="1463556" y="1591958"/>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27ADD1F-230C-49FB-A6C0-62C692E477C3}" type="TxLink">
            <a:rPr lang="en-US" altLang="en-US" sz="1000" b="0" i="0" u="none" strike="noStrike">
              <a:solidFill>
                <a:srgbClr val="000000"/>
              </a:solidFill>
              <a:latin typeface="Calibri"/>
              <a:cs typeface="Calibri"/>
            </a:rPr>
            <a:pPr/>
            <a:t>1.66%</a:t>
          </a:fld>
          <a:endParaRPr lang="en-US" sz="1100">
            <a:latin typeface="Arial" pitchFamily="34" charset="0"/>
            <a:cs typeface="Arial" pitchFamily="34" charset="0"/>
          </a:endParaRPr>
        </a:p>
      </cdr:txBody>
    </cdr:sp>
  </cdr:relSizeAnchor>
  <cdr:relSizeAnchor xmlns:cdr="http://schemas.openxmlformats.org/drawingml/2006/chartDrawing">
    <cdr:from>
      <cdr:x>0.21918</cdr:x>
      <cdr:y>0.35724</cdr:y>
    </cdr:from>
    <cdr:to>
      <cdr:x>0.33546</cdr:x>
      <cdr:y>0.40839</cdr:y>
    </cdr:to>
    <cdr:sp macro="" textlink="GB.kBM.t">
      <cdr:nvSpPr>
        <cdr:cNvPr id="20" name="TextBox 1"/>
        <cdr:cNvSpPr txBox="1"/>
      </cdr:nvSpPr>
      <cdr:spPr>
        <a:xfrm xmlns:a="http://schemas.openxmlformats.org/drawingml/2006/main">
          <a:off x="861814" y="1404642"/>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97B2C70-E746-4F0A-89A3-65129F5ACBC9}" type="TxLink">
            <a:rPr lang="en-US" altLang="en-US" sz="1000" b="0" i="0" u="none" strike="noStrike">
              <a:solidFill>
                <a:srgbClr val="000000"/>
              </a:solidFill>
              <a:latin typeface="Calibri"/>
              <a:cs typeface="Calibri"/>
            </a:rPr>
            <a:pPr/>
            <a:t>12.72%</a:t>
          </a:fld>
          <a:endParaRPr lang="en-US" sz="1100">
            <a:latin typeface="Arial" pitchFamily="34" charset="0"/>
            <a:cs typeface="Arial" pitchFamily="34" charset="0"/>
          </a:endParaRPr>
        </a:p>
      </cdr:txBody>
    </cdr:sp>
  </cdr:relSizeAnchor>
  <cdr:relSizeAnchor xmlns:cdr="http://schemas.openxmlformats.org/drawingml/2006/chartDrawing">
    <cdr:from>
      <cdr:x>0.10268</cdr:x>
      <cdr:y>0.66731</cdr:y>
    </cdr:from>
    <cdr:to>
      <cdr:x>0.21896</cdr:x>
      <cdr:y>0.71846</cdr:y>
    </cdr:to>
    <cdr:sp macro="" textlink="FI.kGB.t">
      <cdr:nvSpPr>
        <cdr:cNvPr id="21" name="TextBox 1"/>
        <cdr:cNvSpPr txBox="1"/>
      </cdr:nvSpPr>
      <cdr:spPr>
        <a:xfrm xmlns:a="http://schemas.openxmlformats.org/drawingml/2006/main">
          <a:off x="402902" y="2623823"/>
          <a:ext cx="456273" cy="201118"/>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AD6C85A-787F-4251-AA24-1110F8511781}" type="TxLink">
            <a:rPr lang="en-US" altLang="en-US" sz="1000" b="0" i="0" u="none" strike="noStrike">
              <a:solidFill>
                <a:srgbClr val="000000"/>
              </a:solidFill>
              <a:latin typeface="Calibri"/>
              <a:cs typeface="Calibri"/>
            </a:rPr>
            <a:pPr/>
            <a:t>18.58%</a:t>
          </a:fld>
          <a:endParaRPr lang="en-US" sz="1100">
            <a:latin typeface="Arial" pitchFamily="34" charset="0"/>
            <a:cs typeface="Arial" pitchFamily="34" charset="0"/>
          </a:endParaRPr>
        </a:p>
      </cdr:txBody>
    </cdr:sp>
  </cdr:relSizeAnchor>
  <cdr:relSizeAnchor xmlns:cdr="http://schemas.openxmlformats.org/drawingml/2006/chartDrawing">
    <cdr:from>
      <cdr:x>0.2128</cdr:x>
      <cdr:y>0.72863</cdr:y>
    </cdr:from>
    <cdr:to>
      <cdr:x>0.32908</cdr:x>
      <cdr:y>0.77978</cdr:y>
    </cdr:to>
    <cdr:sp macro="" textlink="FI.kGM.t">
      <cdr:nvSpPr>
        <cdr:cNvPr id="22" name="TextBox 1"/>
        <cdr:cNvSpPr txBox="1"/>
      </cdr:nvSpPr>
      <cdr:spPr>
        <a:xfrm xmlns:a="http://schemas.openxmlformats.org/drawingml/2006/main">
          <a:off x="836728" y="2864917"/>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6B33CBD-9F77-4A1F-AEE3-0951AA94D672}" type="TxLink">
            <a:rPr lang="en-US" altLang="en-US" sz="1000" b="0" i="0" u="none" strike="noStrike">
              <a:solidFill>
                <a:srgbClr val="000000"/>
              </a:solidFill>
              <a:latin typeface="Calibri"/>
              <a:cs typeface="Calibri"/>
            </a:rPr>
            <a:pPr/>
            <a:t>64.62%</a:t>
          </a:fld>
          <a:endParaRPr lang="en-US" sz="1100">
            <a:latin typeface="Arial" pitchFamily="34" charset="0"/>
            <a:cs typeface="Arial" pitchFamily="34" charset="0"/>
          </a:endParaRPr>
        </a:p>
      </cdr:txBody>
    </cdr:sp>
  </cdr:relSizeAnchor>
  <cdr:relSizeAnchor xmlns:cdr="http://schemas.openxmlformats.org/drawingml/2006/chartDrawing">
    <cdr:from>
      <cdr:x>0.37435</cdr:x>
      <cdr:y>0.78926</cdr:y>
    </cdr:from>
    <cdr:to>
      <cdr:x>0.49063</cdr:x>
      <cdr:y>0.84041</cdr:y>
    </cdr:to>
    <cdr:sp macro="" textlink="FI.kGE.t">
      <cdr:nvSpPr>
        <cdr:cNvPr id="23" name="TextBox 1"/>
        <cdr:cNvSpPr txBox="1"/>
      </cdr:nvSpPr>
      <cdr:spPr>
        <a:xfrm xmlns:a="http://schemas.openxmlformats.org/drawingml/2006/main">
          <a:off x="1492689" y="3036484"/>
          <a:ext cx="463657" cy="196787"/>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F32B357-0C44-49ED-AD10-21B8727457D3}" type="TxLink">
            <a:rPr lang="en-US" altLang="en-US" sz="1000" b="0" i="0" u="none" strike="noStrike">
              <a:solidFill>
                <a:srgbClr val="000000"/>
              </a:solidFill>
              <a:latin typeface="Calibri"/>
              <a:cs typeface="Calibri"/>
            </a:rPr>
            <a:pPr/>
            <a:t>16.81%</a:t>
          </a:fld>
          <a:endParaRPr lang="en-US" sz="1100">
            <a:latin typeface="Arial" pitchFamily="34" charset="0"/>
            <a:cs typeface="Arial" pitchFamily="34" charset="0"/>
          </a:endParaRPr>
        </a:p>
      </cdr:txBody>
    </cdr:sp>
  </cdr:relSizeAnchor>
  <cdr:relSizeAnchor xmlns:cdr="http://schemas.openxmlformats.org/drawingml/2006/chartDrawing">
    <cdr:from>
      <cdr:x>0.37222</cdr:x>
      <cdr:y>0.55754</cdr:y>
    </cdr:from>
    <cdr:to>
      <cdr:x>0.4885</cdr:x>
      <cdr:y>0.60869</cdr:y>
    </cdr:to>
    <cdr:sp macro="" textlink="BG.kGB.t">
      <cdr:nvSpPr>
        <cdr:cNvPr id="24" name="TextBox 1"/>
        <cdr:cNvSpPr txBox="1"/>
      </cdr:nvSpPr>
      <cdr:spPr>
        <a:xfrm xmlns:a="http://schemas.openxmlformats.org/drawingml/2006/main">
          <a:off x="1463556" y="2192205"/>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95068D5-354C-4EB4-BB90-6D040DBA54C7}" type="TxLink">
            <a:rPr lang="en-US" altLang="en-US" sz="1000" b="0" i="0" u="none" strike="noStrike">
              <a:solidFill>
                <a:srgbClr val="000000"/>
              </a:solidFill>
              <a:latin typeface="Calibri"/>
              <a:cs typeface="Calibri"/>
            </a:rPr>
            <a:pPr/>
            <a:t>0.31%</a:t>
          </a:fld>
          <a:endParaRPr lang="en-US" sz="1100">
            <a:latin typeface="Arial" pitchFamily="34" charset="0"/>
            <a:cs typeface="Arial" pitchFamily="34" charset="0"/>
          </a:endParaRPr>
        </a:p>
      </cdr:txBody>
    </cdr:sp>
  </cdr:relSizeAnchor>
  <cdr:relSizeAnchor xmlns:cdr="http://schemas.openxmlformats.org/drawingml/2006/chartDrawing">
    <cdr:from>
      <cdr:x>0.53164</cdr:x>
      <cdr:y>0.61082</cdr:y>
    </cdr:from>
    <cdr:to>
      <cdr:x>0.64792</cdr:x>
      <cdr:y>0.66197</cdr:y>
    </cdr:to>
    <cdr:sp macro="" textlink="BG.kGM.t">
      <cdr:nvSpPr>
        <cdr:cNvPr id="25" name="TextBox 1"/>
        <cdr:cNvSpPr txBox="1"/>
      </cdr:nvSpPr>
      <cdr:spPr>
        <a:xfrm xmlns:a="http://schemas.openxmlformats.org/drawingml/2006/main">
          <a:off x="2090381" y="2401698"/>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AED46FA-CF97-40C4-8696-2EBB5E842458}" type="TxLink">
            <a:rPr lang="en-US" altLang="en-US" sz="1000" b="0" i="0" u="none" strike="noStrike">
              <a:solidFill>
                <a:srgbClr val="000000"/>
              </a:solidFill>
              <a:latin typeface="Calibri"/>
              <a:cs typeface="Calibri"/>
            </a:rPr>
            <a:pPr/>
            <a:t>1.08%</a:t>
          </a:fld>
          <a:endParaRPr lang="en-US" sz="1100">
            <a:latin typeface="Arial" pitchFamily="34" charset="0"/>
            <a:cs typeface="Arial" pitchFamily="34" charset="0"/>
          </a:endParaRPr>
        </a:p>
      </cdr:txBody>
    </cdr:sp>
  </cdr:relSizeAnchor>
  <cdr:relSizeAnchor xmlns:cdr="http://schemas.openxmlformats.org/drawingml/2006/chartDrawing">
    <cdr:from>
      <cdr:x>0.64814</cdr:x>
      <cdr:y>0.6729</cdr:y>
    </cdr:from>
    <cdr:to>
      <cdr:x>0.76442</cdr:x>
      <cdr:y>0.72405</cdr:y>
    </cdr:to>
    <cdr:sp macro="" textlink="BG.kGE.t">
      <cdr:nvSpPr>
        <cdr:cNvPr id="26" name="TextBox 1"/>
        <cdr:cNvSpPr txBox="1"/>
      </cdr:nvSpPr>
      <cdr:spPr>
        <a:xfrm xmlns:a="http://schemas.openxmlformats.org/drawingml/2006/main">
          <a:off x="2543253" y="2645774"/>
          <a:ext cx="456273" cy="201118"/>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CB5C1D7-385D-4B54-B473-CDFEBBDA9DA5}" type="TxLink">
            <a:rPr lang="en-US" altLang="en-US" sz="1000" b="0" i="0" u="none" strike="noStrike">
              <a:solidFill>
                <a:srgbClr val="000000"/>
              </a:solidFill>
              <a:latin typeface="Calibri"/>
              <a:cs typeface="Calibri"/>
            </a:rPr>
            <a:pPr/>
            <a:t>0.28%</a:t>
          </a:fld>
          <a:endParaRPr lang="en-US" sz="1100">
            <a:latin typeface="Arial" pitchFamily="34" charset="0"/>
            <a:cs typeface="Arial"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0.10154</cdr:x>
      <cdr:y>0.82669</cdr:y>
    </cdr:from>
    <cdr:to>
      <cdr:x>0.21782</cdr:x>
      <cdr:y>0.87784</cdr:y>
    </cdr:to>
    <cdr:sp macro="" textlink="FI.f">
      <cdr:nvSpPr>
        <cdr:cNvPr id="3" name="TextBox 2"/>
        <cdr:cNvSpPr txBox="1"/>
      </cdr:nvSpPr>
      <cdr:spPr>
        <a:xfrm xmlns:a="http://schemas.openxmlformats.org/drawingml/2006/main">
          <a:off x="404882" y="3180486"/>
          <a:ext cx="463657" cy="196787"/>
        </a:xfrm>
        <a:prstGeom xmlns:a="http://schemas.openxmlformats.org/drawingml/2006/main" prst="rect">
          <a:avLst/>
        </a:prstGeom>
        <a:solidFill xmlns:a="http://schemas.openxmlformats.org/drawingml/2006/main">
          <a:srgbClr val="FFFF99">
            <a:alpha val="80000"/>
          </a:srgbClr>
        </a:solidFill>
        <a:ln xmlns:a="http://schemas.openxmlformats.org/drawingml/2006/main" w="9525">
          <a:solidFill>
            <a:schemeClr val="tx1">
              <a:lumMod val="50000"/>
              <a:lumOff val="50000"/>
            </a:schemeClr>
          </a:solidFill>
        </a:ln>
      </cdr:spPr>
      <cdr:txBody>
        <a:bodyPr xmlns:a="http://schemas.openxmlformats.org/drawingml/2006/main" vertOverflow="clip" wrap="none" rtlCol="0" anchor="ctr" anchorCtr="1"/>
        <a:lstStyle xmlns:a="http://schemas.openxmlformats.org/drawingml/2006/main"/>
        <a:p xmlns:a="http://schemas.openxmlformats.org/drawingml/2006/main">
          <a:fld id="{93794FF2-A865-41DE-9B7B-7A9CEF4DAA29}" type="TxLink">
            <a:rPr lang="en-US" altLang="en-US" sz="1000" b="0" i="0" u="none" strike="noStrike">
              <a:solidFill>
                <a:srgbClr val="000000"/>
              </a:solidFill>
              <a:latin typeface="Calibri"/>
              <a:cs typeface="Calibri"/>
            </a:rPr>
            <a:pPr/>
            <a:t>31.26%</a:t>
          </a:fld>
          <a:endParaRPr lang="en-US" sz="1100">
            <a:latin typeface="Arial" pitchFamily="34" charset="0"/>
            <a:cs typeface="Arial" pitchFamily="34" charset="0"/>
          </a:endParaRPr>
        </a:p>
      </cdr:txBody>
    </cdr:sp>
  </cdr:relSizeAnchor>
  <cdr:relSizeAnchor xmlns:cdr="http://schemas.openxmlformats.org/drawingml/2006/chartDrawing">
    <cdr:from>
      <cdr:x>0.11077</cdr:x>
      <cdr:y>0.46761</cdr:y>
    </cdr:from>
    <cdr:to>
      <cdr:x>0.22705</cdr:x>
      <cdr:y>0.51876</cdr:y>
    </cdr:to>
    <cdr:sp macro="" textlink="GB.f">
      <cdr:nvSpPr>
        <cdr:cNvPr id="5" name="TextBox 1"/>
        <cdr:cNvSpPr txBox="1"/>
      </cdr:nvSpPr>
      <cdr:spPr>
        <a:xfrm xmlns:a="http://schemas.openxmlformats.org/drawingml/2006/main">
          <a:off x="435554" y="1838608"/>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F145EA7-8175-4858-A1A3-75D3A1559264}" type="TxLink">
            <a:rPr lang="en-US" altLang="en-US" sz="1000" b="0" i="0" u="none" strike="noStrike">
              <a:solidFill>
                <a:srgbClr val="000000"/>
              </a:solidFill>
              <a:latin typeface="Calibri"/>
              <a:cs typeface="Calibri"/>
            </a:rPr>
            <a:pPr/>
            <a:t>7.05%</a:t>
          </a:fld>
          <a:endParaRPr lang="en-US" sz="1100">
            <a:latin typeface="Arial" pitchFamily="34" charset="0"/>
            <a:cs typeface="Arial" pitchFamily="34" charset="0"/>
          </a:endParaRPr>
        </a:p>
      </cdr:txBody>
    </cdr:sp>
  </cdr:relSizeAnchor>
  <cdr:relSizeAnchor xmlns:cdr="http://schemas.openxmlformats.org/drawingml/2006/chartDrawing">
    <cdr:from>
      <cdr:x>0.37222</cdr:x>
      <cdr:y>0.6658</cdr:y>
    </cdr:from>
    <cdr:to>
      <cdr:x>0.4885</cdr:x>
      <cdr:y>0.71695</cdr:y>
    </cdr:to>
    <cdr:sp macro="" textlink="GM.f">
      <cdr:nvSpPr>
        <cdr:cNvPr id="6" name="TextBox 1"/>
        <cdr:cNvSpPr txBox="1"/>
      </cdr:nvSpPr>
      <cdr:spPr>
        <a:xfrm xmlns:a="http://schemas.openxmlformats.org/drawingml/2006/main">
          <a:off x="1463556" y="2617875"/>
          <a:ext cx="457200" cy="201103"/>
        </a:xfrm>
        <a:prstGeom xmlns:a="http://schemas.openxmlformats.org/drawingml/2006/main" prst="rect">
          <a:avLst/>
        </a:prstGeom>
        <a:solidFill xmlns:a="http://schemas.openxmlformats.org/drawingml/2006/main">
          <a:schemeClr val="accent2">
            <a:lumMod val="40000"/>
            <a:lumOff val="60000"/>
            <a:alpha val="80000"/>
          </a:schemeClr>
        </a:solidFill>
        <a:ln xmlns:a="http://schemas.openxmlformats.org/drawingml/2006/main" w="9525">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4060DE2-30B1-4D66-A6E3-8A202E43D773}" type="TxLink">
            <a:rPr lang="en-US" altLang="en-US" sz="1000" b="0" i="0" u="none" strike="noStrike">
              <a:solidFill>
                <a:srgbClr val="000000"/>
              </a:solidFill>
              <a:latin typeface="Calibri"/>
              <a:cs typeface="Calibri"/>
            </a:rPr>
            <a:pPr/>
            <a:t>24.52%</a:t>
          </a:fld>
          <a:endParaRPr lang="en-US" sz="1100">
            <a:latin typeface="Arial" pitchFamily="34" charset="0"/>
            <a:cs typeface="Arial" pitchFamily="34" charset="0"/>
          </a:endParaRPr>
        </a:p>
      </cdr:txBody>
    </cdr:sp>
  </cdr:relSizeAnchor>
  <cdr:relSizeAnchor xmlns:cdr="http://schemas.openxmlformats.org/drawingml/2006/chartDrawing">
    <cdr:from>
      <cdr:x>0.63792</cdr:x>
      <cdr:y>0.83063</cdr:y>
    </cdr:from>
    <cdr:to>
      <cdr:x>0.7542</cdr:x>
      <cdr:y>0.88178</cdr:y>
    </cdr:to>
    <cdr:sp macro="" textlink="GE.f">
      <cdr:nvSpPr>
        <cdr:cNvPr id="8" name="TextBox 1"/>
        <cdr:cNvSpPr txBox="1"/>
      </cdr:nvSpPr>
      <cdr:spPr>
        <a:xfrm xmlns:a="http://schemas.openxmlformats.org/drawingml/2006/main">
          <a:off x="2508266" y="3265973"/>
          <a:ext cx="457200" cy="201103"/>
        </a:xfrm>
        <a:prstGeom xmlns:a="http://schemas.openxmlformats.org/drawingml/2006/main" prst="rect">
          <a:avLst/>
        </a:prstGeom>
        <a:solidFill xmlns:a="http://schemas.openxmlformats.org/drawingml/2006/main">
          <a:schemeClr val="accent2">
            <a:lumMod val="40000"/>
            <a:lumOff val="60000"/>
            <a:alpha val="80000"/>
          </a:schemeClr>
        </a:solidFill>
        <a:ln xmlns:a="http://schemas.openxmlformats.org/drawingml/2006/main" w="9525">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1E07BAC-7929-423F-98BE-D14EF5235205}" type="TxLink">
            <a:rPr lang="en-US" altLang="en-US" sz="1000" b="0" i="0" u="none" strike="noStrike">
              <a:solidFill>
                <a:srgbClr val="000000"/>
              </a:solidFill>
              <a:latin typeface="Calibri"/>
              <a:cs typeface="Calibri"/>
            </a:rPr>
            <a:pPr/>
            <a:t>6.38%</a:t>
          </a:fld>
          <a:endParaRPr lang="en-US" sz="1100">
            <a:latin typeface="Arial" pitchFamily="34" charset="0"/>
            <a:cs typeface="Arial" pitchFamily="34" charset="0"/>
          </a:endParaRPr>
        </a:p>
      </cdr:txBody>
    </cdr:sp>
  </cdr:relSizeAnchor>
  <cdr:relSizeAnchor xmlns:cdr="http://schemas.openxmlformats.org/drawingml/2006/chartDrawing">
    <cdr:from>
      <cdr:x>0.3701</cdr:x>
      <cdr:y>0.28394</cdr:y>
    </cdr:from>
    <cdr:to>
      <cdr:x>0.48638</cdr:x>
      <cdr:y>0.33509</cdr:y>
    </cdr:to>
    <cdr:sp macro="" textlink="BM.f">
      <cdr:nvSpPr>
        <cdr:cNvPr id="9" name="TextBox 1"/>
        <cdr:cNvSpPr txBox="1"/>
      </cdr:nvSpPr>
      <cdr:spPr>
        <a:xfrm xmlns:a="http://schemas.openxmlformats.org/drawingml/2006/main">
          <a:off x="1455219" y="1116432"/>
          <a:ext cx="457200" cy="201103"/>
        </a:xfrm>
        <a:prstGeom xmlns:a="http://schemas.openxmlformats.org/drawingml/2006/main" prst="rect">
          <a:avLst/>
        </a:prstGeom>
        <a:solidFill xmlns:a="http://schemas.openxmlformats.org/drawingml/2006/main">
          <a:schemeClr val="accent2">
            <a:lumMod val="40000"/>
            <a:lumOff val="60000"/>
            <a:alpha val="80000"/>
          </a:schemeClr>
        </a:solidFill>
        <a:ln xmlns:a="http://schemas.openxmlformats.org/drawingml/2006/main" w="9525">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5CD46A4-CCF3-41FC-8127-B3BC1FBFE2D3}" type="TxLink">
            <a:rPr lang="en-US" altLang="en-US" sz="1000" b="0" i="0" u="none" strike="noStrike">
              <a:solidFill>
                <a:srgbClr val="000000"/>
              </a:solidFill>
              <a:latin typeface="Calibri"/>
              <a:cs typeface="Calibri"/>
            </a:rPr>
            <a:pPr/>
            <a:t>51.05%</a:t>
          </a:fld>
          <a:endParaRPr lang="en-US" sz="1100">
            <a:latin typeface="Arial" pitchFamily="34" charset="0"/>
            <a:cs typeface="Arial" pitchFamily="34" charset="0"/>
          </a:endParaRPr>
        </a:p>
      </cdr:txBody>
    </cdr:sp>
  </cdr:relSizeAnchor>
  <cdr:relSizeAnchor xmlns:cdr="http://schemas.openxmlformats.org/drawingml/2006/chartDrawing">
    <cdr:from>
      <cdr:x>0.10865</cdr:x>
      <cdr:y>0.10243</cdr:y>
    </cdr:from>
    <cdr:to>
      <cdr:x>0.22493</cdr:x>
      <cdr:y>0.15358</cdr:y>
    </cdr:to>
    <cdr:sp macro="" textlink="BE.f">
      <cdr:nvSpPr>
        <cdr:cNvPr id="10" name="TextBox 1"/>
        <cdr:cNvSpPr txBox="1"/>
      </cdr:nvSpPr>
      <cdr:spPr>
        <a:xfrm xmlns:a="http://schemas.openxmlformats.org/drawingml/2006/main">
          <a:off x="427218" y="402749"/>
          <a:ext cx="457200" cy="201103"/>
        </a:xfrm>
        <a:prstGeom xmlns:a="http://schemas.openxmlformats.org/drawingml/2006/main" prst="rect">
          <a:avLst/>
        </a:prstGeom>
        <a:solidFill xmlns:a="http://schemas.openxmlformats.org/drawingml/2006/main">
          <a:schemeClr val="accent2">
            <a:lumMod val="40000"/>
            <a:lumOff val="60000"/>
            <a:alpha val="80000"/>
          </a:schemeClr>
        </a:solidFill>
        <a:ln xmlns:a="http://schemas.openxmlformats.org/drawingml/2006/main" w="9525">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785445E-4141-4E99-B830-9583CA687D45}" type="TxLink">
            <a:rPr lang="en-US" altLang="en-US" sz="1000" b="0" i="0" u="none" strike="noStrike">
              <a:solidFill>
                <a:srgbClr val="000000"/>
              </a:solidFill>
              <a:latin typeface="Calibri"/>
              <a:cs typeface="Calibri"/>
            </a:rPr>
            <a:pPr/>
            <a:t>6.36%</a:t>
          </a:fld>
          <a:endParaRPr lang="en-US" sz="1100">
            <a:latin typeface="Arial" pitchFamily="34" charset="0"/>
            <a:cs typeface="Arial" pitchFamily="34" charset="0"/>
          </a:endParaRPr>
        </a:p>
      </cdr:txBody>
    </cdr:sp>
  </cdr:relSizeAnchor>
  <cdr:relSizeAnchor xmlns:cdr="http://schemas.openxmlformats.org/drawingml/2006/chartDrawing">
    <cdr:from>
      <cdr:x>0.8768</cdr:x>
      <cdr:y>0.16725</cdr:y>
    </cdr:from>
    <cdr:to>
      <cdr:x>0.99308</cdr:x>
      <cdr:y>0.2184</cdr:y>
    </cdr:to>
    <cdr:sp macro="" textlink="GD.f">
      <cdr:nvSpPr>
        <cdr:cNvPr id="11" name="TextBox 1"/>
        <cdr:cNvSpPr txBox="1"/>
      </cdr:nvSpPr>
      <cdr:spPr>
        <a:xfrm xmlns:a="http://schemas.openxmlformats.org/drawingml/2006/main">
          <a:off x="3447506" y="657616"/>
          <a:ext cx="457200" cy="201103"/>
        </a:xfrm>
        <a:prstGeom xmlns:a="http://schemas.openxmlformats.org/drawingml/2006/main" prst="rect">
          <a:avLst/>
        </a:prstGeom>
        <a:solidFill xmlns:a="http://schemas.openxmlformats.org/drawingml/2006/main">
          <a:schemeClr val="accent2">
            <a:lumMod val="40000"/>
            <a:lumOff val="60000"/>
            <a:alpha val="80000"/>
          </a:schemeClr>
        </a:solidFill>
        <a:ln xmlns:a="http://schemas.openxmlformats.org/drawingml/2006/main" w="9525">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28491E4-BE86-4713-ABBA-785A8B8027F5}" type="TxLink">
            <a:rPr lang="en-US" altLang="en-US" sz="1000" b="0" i="0" u="none" strike="noStrike">
              <a:solidFill>
                <a:srgbClr val="000000"/>
              </a:solidFill>
              <a:latin typeface="Calibri"/>
              <a:cs typeface="Calibri"/>
            </a:rPr>
            <a:pPr/>
            <a:t>11.70%</a:t>
          </a:fld>
          <a:endParaRPr lang="en-US" sz="1100">
            <a:latin typeface="Arial" pitchFamily="34" charset="0"/>
            <a:cs typeface="Arial" pitchFamily="34" charset="0"/>
          </a:endParaRPr>
        </a:p>
      </cdr:txBody>
    </cdr:sp>
  </cdr:relSizeAnchor>
  <cdr:relSizeAnchor xmlns:cdr="http://schemas.openxmlformats.org/drawingml/2006/chartDrawing">
    <cdr:from>
      <cdr:x>0.61749</cdr:x>
      <cdr:y>0.4606</cdr:y>
    </cdr:from>
    <cdr:to>
      <cdr:x>0.73377</cdr:x>
      <cdr:y>0.51175</cdr:y>
    </cdr:to>
    <cdr:sp macro="" textlink="BG.f">
      <cdr:nvSpPr>
        <cdr:cNvPr id="12" name="TextBox 1"/>
        <cdr:cNvSpPr txBox="1"/>
      </cdr:nvSpPr>
      <cdr:spPr>
        <a:xfrm xmlns:a="http://schemas.openxmlformats.org/drawingml/2006/main">
          <a:off x="2422968" y="1811036"/>
          <a:ext cx="456273" cy="201118"/>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83422D7-B543-4A79-B5CD-AFA4EC82B8D5}" type="TxLink">
            <a:rPr lang="en-US" altLang="en-US" sz="1000" b="0" i="0" u="none" strike="noStrike">
              <a:solidFill>
                <a:srgbClr val="000000"/>
              </a:solidFill>
              <a:latin typeface="Calibri"/>
              <a:cs typeface="Calibri"/>
            </a:rPr>
            <a:pPr/>
            <a:t>6.68%</a:t>
          </a:fld>
          <a:endParaRPr lang="en-US" sz="1100">
            <a:latin typeface="Arial" pitchFamily="34" charset="0"/>
            <a:cs typeface="Arial" pitchFamily="34" charset="0"/>
          </a:endParaRPr>
        </a:p>
      </cdr:txBody>
    </cdr:sp>
  </cdr:relSizeAnchor>
  <cdr:relSizeAnchor xmlns:cdr="http://schemas.openxmlformats.org/drawingml/2006/chartDrawing">
    <cdr:from>
      <cdr:x>0.64625</cdr:x>
      <cdr:y>0.10534</cdr:y>
    </cdr:from>
    <cdr:to>
      <cdr:x>0.76253</cdr:x>
      <cdr:y>0.15649</cdr:y>
    </cdr:to>
    <cdr:sp macro="" textlink="GU.f">
      <cdr:nvSpPr>
        <cdr:cNvPr id="13" name="TextBox 1"/>
        <cdr:cNvSpPr txBox="1"/>
      </cdr:nvSpPr>
      <cdr:spPr>
        <a:xfrm xmlns:a="http://schemas.openxmlformats.org/drawingml/2006/main">
          <a:off x="2540988" y="414207"/>
          <a:ext cx="457200" cy="201103"/>
        </a:xfrm>
        <a:prstGeom xmlns:a="http://schemas.openxmlformats.org/drawingml/2006/main" prst="rect">
          <a:avLst/>
        </a:prstGeom>
        <a:solidFill xmlns:a="http://schemas.openxmlformats.org/drawingml/2006/main">
          <a:srgbClr val="FFFF99">
            <a:alpha val="80000"/>
          </a:srgbClr>
        </a:solidFill>
        <a:ln xmlns:a="http://schemas.openxmlformats.org/drawingml/2006/main" w="9525">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4810F63-FEB5-4B18-81D6-C60D5E16F3EB}" type="TxLink">
            <a:rPr lang="en-US" altLang="en-US" sz="1000" b="0" i="0" u="none" strike="noStrike">
              <a:solidFill>
                <a:srgbClr val="000000"/>
              </a:solidFill>
              <a:latin typeface="Calibri"/>
              <a:cs typeface="Calibri"/>
            </a:rPr>
            <a:pPr/>
            <a:t>68.74%</a:t>
          </a:fld>
          <a:endParaRPr lang="en-US" sz="1100">
            <a:latin typeface="Arial" pitchFamily="34" charset="0"/>
            <a:cs typeface="Arial" pitchFamily="34" charset="0"/>
          </a:endParaRPr>
        </a:p>
      </cdr:txBody>
    </cdr:sp>
  </cdr:relSizeAnchor>
  <cdr:relSizeAnchor xmlns:cdr="http://schemas.openxmlformats.org/drawingml/2006/chartDrawing">
    <cdr:from>
      <cdr:x>0.37222</cdr:x>
      <cdr:y>0.18022</cdr:y>
    </cdr:from>
    <cdr:to>
      <cdr:x>0.4885</cdr:x>
      <cdr:y>0.23137</cdr:y>
    </cdr:to>
    <cdr:sp macro="" textlink="GU.kB2.f">
      <cdr:nvSpPr>
        <cdr:cNvPr id="15" name="TextBox 1"/>
        <cdr:cNvSpPr txBox="1"/>
      </cdr:nvSpPr>
      <cdr:spPr>
        <a:xfrm xmlns:a="http://schemas.openxmlformats.org/drawingml/2006/main">
          <a:off x="1463556" y="708613"/>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8F9968C-D215-4254-B521-462692BEC558}" type="TxLink">
            <a:rPr lang="en-US" altLang="en-US" sz="1000" b="0" i="0" u="none" strike="noStrike">
              <a:solidFill>
                <a:srgbClr val="000000"/>
              </a:solidFill>
              <a:latin typeface="Calibri"/>
              <a:cs typeface="Calibri"/>
            </a:rPr>
            <a:pPr/>
            <a:t>5.76%</a:t>
          </a:fld>
          <a:endParaRPr lang="en-US" sz="1100">
            <a:latin typeface="Arial" pitchFamily="34" charset="0"/>
            <a:cs typeface="Arial" pitchFamily="34" charset="0"/>
          </a:endParaRPr>
        </a:p>
      </cdr:txBody>
    </cdr:sp>
  </cdr:relSizeAnchor>
  <cdr:relSizeAnchor xmlns:cdr="http://schemas.openxmlformats.org/drawingml/2006/chartDrawing">
    <cdr:from>
      <cdr:x>0.6358</cdr:x>
      <cdr:y>0.29225</cdr:y>
    </cdr:from>
    <cdr:to>
      <cdr:x>0.75208</cdr:x>
      <cdr:y>0.3434</cdr:y>
    </cdr:to>
    <cdr:sp macro="" textlink="GU.kBG.f">
      <cdr:nvSpPr>
        <cdr:cNvPr id="16" name="TextBox 1"/>
        <cdr:cNvSpPr txBox="1"/>
      </cdr:nvSpPr>
      <cdr:spPr>
        <a:xfrm xmlns:a="http://schemas.openxmlformats.org/drawingml/2006/main">
          <a:off x="2499930" y="1149106"/>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4A648CB-111C-4210-8974-493EC62B6BFE}" type="TxLink">
            <a:rPr lang="en-US" altLang="en-US" sz="1000" b="0" i="0" u="none" strike="noStrike">
              <a:solidFill>
                <a:srgbClr val="000000"/>
              </a:solidFill>
              <a:latin typeface="Calibri"/>
              <a:cs typeface="Calibri"/>
            </a:rPr>
            <a:pPr/>
            <a:t>6.06%</a:t>
          </a:fld>
          <a:endParaRPr lang="en-US" sz="1100">
            <a:latin typeface="Arial" pitchFamily="34" charset="0"/>
            <a:cs typeface="Arial" pitchFamily="34" charset="0"/>
          </a:endParaRPr>
        </a:p>
      </cdr:txBody>
    </cdr:sp>
  </cdr:relSizeAnchor>
  <cdr:relSizeAnchor xmlns:cdr="http://schemas.openxmlformats.org/drawingml/2006/chartDrawing">
    <cdr:from>
      <cdr:x>0.53164</cdr:x>
      <cdr:y>0.23503</cdr:y>
    </cdr:from>
    <cdr:to>
      <cdr:x>0.64792</cdr:x>
      <cdr:y>0.28618</cdr:y>
    </cdr:to>
    <cdr:sp macro="" textlink="GU.kBM.f">
      <cdr:nvSpPr>
        <cdr:cNvPr id="17" name="TextBox 1"/>
        <cdr:cNvSpPr txBox="1"/>
      </cdr:nvSpPr>
      <cdr:spPr>
        <a:xfrm xmlns:a="http://schemas.openxmlformats.org/drawingml/2006/main">
          <a:off x="2090381" y="924122"/>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6B60A60-B368-44D8-B8B9-AE758F30B9C9}" type="TxLink">
            <a:rPr lang="en-US" altLang="en-US" sz="1000" b="0" i="0" u="none" strike="noStrike">
              <a:solidFill>
                <a:srgbClr val="000000"/>
              </a:solidFill>
              <a:latin typeface="Calibri"/>
              <a:cs typeface="Calibri"/>
            </a:rPr>
            <a:pPr/>
            <a:t>46.30%</a:t>
          </a:fld>
          <a:endParaRPr lang="en-US" sz="1100">
            <a:latin typeface="Arial" pitchFamily="34" charset="0"/>
            <a:cs typeface="Arial" pitchFamily="34" charset="0"/>
          </a:endParaRPr>
        </a:p>
      </cdr:txBody>
    </cdr:sp>
  </cdr:relSizeAnchor>
  <cdr:relSizeAnchor xmlns:cdr="http://schemas.openxmlformats.org/drawingml/2006/chartDrawing">
    <cdr:from>
      <cdr:x>0.10652</cdr:x>
      <cdr:y>0.29096</cdr:y>
    </cdr:from>
    <cdr:to>
      <cdr:x>0.2228</cdr:x>
      <cdr:y>0.34211</cdr:y>
    </cdr:to>
    <cdr:sp macro="" textlink="GB.kB2.f">
      <cdr:nvSpPr>
        <cdr:cNvPr id="18" name="TextBox 1"/>
        <cdr:cNvSpPr txBox="1"/>
      </cdr:nvSpPr>
      <cdr:spPr>
        <a:xfrm xmlns:a="http://schemas.openxmlformats.org/drawingml/2006/main">
          <a:off x="418843" y="1144034"/>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16090E9-0187-4832-A617-B707574191C7}" type="TxLink">
            <a:rPr lang="en-US" altLang="en-US" sz="1000" b="0" i="0" u="none" strike="noStrike">
              <a:solidFill>
                <a:srgbClr val="000000"/>
              </a:solidFill>
              <a:latin typeface="Calibri"/>
              <a:cs typeface="Calibri"/>
            </a:rPr>
            <a:pPr/>
            <a:t>0.59%</a:t>
          </a:fld>
          <a:endParaRPr lang="en-US" sz="1100">
            <a:latin typeface="Arial" pitchFamily="34" charset="0"/>
            <a:cs typeface="Arial" pitchFamily="34" charset="0"/>
          </a:endParaRPr>
        </a:p>
      </cdr:txBody>
    </cdr:sp>
  </cdr:relSizeAnchor>
  <cdr:relSizeAnchor xmlns:cdr="http://schemas.openxmlformats.org/drawingml/2006/chartDrawing">
    <cdr:from>
      <cdr:x>0.37222</cdr:x>
      <cdr:y>0.40488</cdr:y>
    </cdr:from>
    <cdr:to>
      <cdr:x>0.4885</cdr:x>
      <cdr:y>0.45603</cdr:y>
    </cdr:to>
    <cdr:sp macro="" textlink="GB.kBG.f">
      <cdr:nvSpPr>
        <cdr:cNvPr id="19" name="TextBox 1"/>
        <cdr:cNvSpPr txBox="1"/>
      </cdr:nvSpPr>
      <cdr:spPr>
        <a:xfrm xmlns:a="http://schemas.openxmlformats.org/drawingml/2006/main">
          <a:off x="1463556" y="1591958"/>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5FA5518-2A82-45E8-A95A-1CDFA9E1C3E7}" type="TxLink">
            <a:rPr lang="en-US" altLang="en-US" sz="1000" b="0" i="0" u="none" strike="noStrike">
              <a:solidFill>
                <a:srgbClr val="000000"/>
              </a:solidFill>
              <a:latin typeface="Calibri"/>
              <a:cs typeface="Calibri"/>
            </a:rPr>
            <a:pPr/>
            <a:t>0.62%</a:t>
          </a:fld>
          <a:endParaRPr lang="en-US" sz="1100">
            <a:latin typeface="Arial" pitchFamily="34" charset="0"/>
            <a:cs typeface="Arial" pitchFamily="34" charset="0"/>
          </a:endParaRPr>
        </a:p>
      </cdr:txBody>
    </cdr:sp>
  </cdr:relSizeAnchor>
  <cdr:relSizeAnchor xmlns:cdr="http://schemas.openxmlformats.org/drawingml/2006/chartDrawing">
    <cdr:from>
      <cdr:x>0.21918</cdr:x>
      <cdr:y>0.35724</cdr:y>
    </cdr:from>
    <cdr:to>
      <cdr:x>0.33546</cdr:x>
      <cdr:y>0.40839</cdr:y>
    </cdr:to>
    <cdr:sp macro="" textlink="GB.kBM.f">
      <cdr:nvSpPr>
        <cdr:cNvPr id="20" name="TextBox 1"/>
        <cdr:cNvSpPr txBox="1"/>
      </cdr:nvSpPr>
      <cdr:spPr>
        <a:xfrm xmlns:a="http://schemas.openxmlformats.org/drawingml/2006/main">
          <a:off x="861814" y="1404642"/>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35B2442-E33C-4773-A244-7794B60D488C}" type="TxLink">
            <a:rPr lang="en-US" altLang="en-US" sz="1000" b="0" i="0" u="none" strike="noStrike">
              <a:solidFill>
                <a:srgbClr val="000000"/>
              </a:solidFill>
              <a:latin typeface="Calibri"/>
              <a:cs typeface="Calibri"/>
            </a:rPr>
            <a:pPr/>
            <a:t>4.75%</a:t>
          </a:fld>
          <a:endParaRPr lang="en-US" sz="1100">
            <a:latin typeface="Arial" pitchFamily="34" charset="0"/>
            <a:cs typeface="Arial" pitchFamily="34" charset="0"/>
          </a:endParaRPr>
        </a:p>
      </cdr:txBody>
    </cdr:sp>
  </cdr:relSizeAnchor>
  <cdr:relSizeAnchor xmlns:cdr="http://schemas.openxmlformats.org/drawingml/2006/chartDrawing">
    <cdr:from>
      <cdr:x>0.10268</cdr:x>
      <cdr:y>0.66731</cdr:y>
    </cdr:from>
    <cdr:to>
      <cdr:x>0.21896</cdr:x>
      <cdr:y>0.71846</cdr:y>
    </cdr:to>
    <cdr:sp macro="" textlink="FI.kGB.f">
      <cdr:nvSpPr>
        <cdr:cNvPr id="21" name="TextBox 1"/>
        <cdr:cNvSpPr txBox="1"/>
      </cdr:nvSpPr>
      <cdr:spPr>
        <a:xfrm xmlns:a="http://schemas.openxmlformats.org/drawingml/2006/main">
          <a:off x="402902" y="2623823"/>
          <a:ext cx="456273" cy="201118"/>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75D2432-740B-47FE-AB9E-D619E0E7290B}" type="TxLink">
            <a:rPr lang="en-US" altLang="en-US" sz="1000" b="0" i="0" u="none" strike="noStrike">
              <a:solidFill>
                <a:srgbClr val="000000"/>
              </a:solidFill>
              <a:latin typeface="Calibri"/>
              <a:cs typeface="Calibri"/>
            </a:rPr>
            <a:pPr/>
            <a:t>5.81%</a:t>
          </a:fld>
          <a:endParaRPr lang="en-US" sz="1100">
            <a:latin typeface="Arial" pitchFamily="34" charset="0"/>
            <a:cs typeface="Arial" pitchFamily="34" charset="0"/>
          </a:endParaRPr>
        </a:p>
      </cdr:txBody>
    </cdr:sp>
  </cdr:relSizeAnchor>
  <cdr:relSizeAnchor xmlns:cdr="http://schemas.openxmlformats.org/drawingml/2006/chartDrawing">
    <cdr:from>
      <cdr:x>0.2128</cdr:x>
      <cdr:y>0.72863</cdr:y>
    </cdr:from>
    <cdr:to>
      <cdr:x>0.32908</cdr:x>
      <cdr:y>0.77978</cdr:y>
    </cdr:to>
    <cdr:sp macro="" textlink="FI.kGM.f">
      <cdr:nvSpPr>
        <cdr:cNvPr id="22" name="TextBox 1"/>
        <cdr:cNvSpPr txBox="1"/>
      </cdr:nvSpPr>
      <cdr:spPr>
        <a:xfrm xmlns:a="http://schemas.openxmlformats.org/drawingml/2006/main">
          <a:off x="836728" y="2864917"/>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291C187-9252-488B-A5FC-86FBD5854FEE}" type="TxLink">
            <a:rPr lang="en-US" altLang="en-US" sz="1000" b="0" i="0" u="none" strike="noStrike">
              <a:solidFill>
                <a:srgbClr val="000000"/>
              </a:solidFill>
              <a:latin typeface="Calibri"/>
              <a:cs typeface="Calibri"/>
            </a:rPr>
            <a:pPr/>
            <a:t>20.20%</a:t>
          </a:fld>
          <a:endParaRPr lang="en-US" sz="1100">
            <a:latin typeface="Arial" pitchFamily="34" charset="0"/>
            <a:cs typeface="Arial" pitchFamily="34" charset="0"/>
          </a:endParaRPr>
        </a:p>
      </cdr:txBody>
    </cdr:sp>
  </cdr:relSizeAnchor>
  <cdr:relSizeAnchor xmlns:cdr="http://schemas.openxmlformats.org/drawingml/2006/chartDrawing">
    <cdr:from>
      <cdr:x>0.37435</cdr:x>
      <cdr:y>0.78926</cdr:y>
    </cdr:from>
    <cdr:to>
      <cdr:x>0.49063</cdr:x>
      <cdr:y>0.84041</cdr:y>
    </cdr:to>
    <cdr:sp macro="" textlink="FI.kGE.f">
      <cdr:nvSpPr>
        <cdr:cNvPr id="23" name="TextBox 1"/>
        <cdr:cNvSpPr txBox="1"/>
      </cdr:nvSpPr>
      <cdr:spPr>
        <a:xfrm xmlns:a="http://schemas.openxmlformats.org/drawingml/2006/main">
          <a:off x="1492689" y="3036484"/>
          <a:ext cx="463657" cy="196787"/>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B58698D-8044-42D5-860D-5E2A7A1A6120}" type="TxLink">
            <a:rPr lang="en-US" altLang="en-US" sz="1000" b="0" i="0" u="none" strike="noStrike">
              <a:solidFill>
                <a:srgbClr val="000000"/>
              </a:solidFill>
              <a:latin typeface="Calibri"/>
              <a:cs typeface="Calibri"/>
            </a:rPr>
            <a:pPr/>
            <a:t>5.25%</a:t>
          </a:fld>
          <a:endParaRPr lang="en-US" sz="1100">
            <a:latin typeface="Arial" pitchFamily="34" charset="0"/>
            <a:cs typeface="Arial" pitchFamily="34" charset="0"/>
          </a:endParaRPr>
        </a:p>
      </cdr:txBody>
    </cdr:sp>
  </cdr:relSizeAnchor>
  <cdr:relSizeAnchor xmlns:cdr="http://schemas.openxmlformats.org/drawingml/2006/chartDrawing">
    <cdr:from>
      <cdr:x>0.37222</cdr:x>
      <cdr:y>0.55754</cdr:y>
    </cdr:from>
    <cdr:to>
      <cdr:x>0.4885</cdr:x>
      <cdr:y>0.60869</cdr:y>
    </cdr:to>
    <cdr:sp macro="" textlink="BG.kGB.f">
      <cdr:nvSpPr>
        <cdr:cNvPr id="24" name="TextBox 1"/>
        <cdr:cNvSpPr txBox="1"/>
      </cdr:nvSpPr>
      <cdr:spPr>
        <a:xfrm xmlns:a="http://schemas.openxmlformats.org/drawingml/2006/main">
          <a:off x="1463556" y="2192205"/>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2565B65-EA36-456A-9E7C-1F56FDC17856}" type="TxLink">
            <a:rPr lang="en-US" altLang="en-US" sz="1000" b="0" i="0" u="none" strike="noStrike">
              <a:solidFill>
                <a:srgbClr val="000000"/>
              </a:solidFill>
              <a:latin typeface="Calibri"/>
              <a:cs typeface="Calibri"/>
            </a:rPr>
            <a:pPr/>
            <a:t>1.24%</a:t>
          </a:fld>
          <a:endParaRPr lang="en-US" sz="1100">
            <a:latin typeface="Arial" pitchFamily="34" charset="0"/>
            <a:cs typeface="Arial" pitchFamily="34" charset="0"/>
          </a:endParaRPr>
        </a:p>
      </cdr:txBody>
    </cdr:sp>
  </cdr:relSizeAnchor>
  <cdr:relSizeAnchor xmlns:cdr="http://schemas.openxmlformats.org/drawingml/2006/chartDrawing">
    <cdr:from>
      <cdr:x>0.53164</cdr:x>
      <cdr:y>0.61082</cdr:y>
    </cdr:from>
    <cdr:to>
      <cdr:x>0.64792</cdr:x>
      <cdr:y>0.66197</cdr:y>
    </cdr:to>
    <cdr:sp macro="" textlink="BG.kGM.f">
      <cdr:nvSpPr>
        <cdr:cNvPr id="25" name="TextBox 1"/>
        <cdr:cNvSpPr txBox="1"/>
      </cdr:nvSpPr>
      <cdr:spPr>
        <a:xfrm xmlns:a="http://schemas.openxmlformats.org/drawingml/2006/main">
          <a:off x="2090381" y="2401698"/>
          <a:ext cx="457200" cy="201103"/>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5F92925-4B43-4D7D-B972-0C92BC45C4C4}" type="TxLink">
            <a:rPr lang="en-US" altLang="en-US" sz="1000" b="0" i="0" u="none" strike="noStrike">
              <a:solidFill>
                <a:srgbClr val="000000"/>
              </a:solidFill>
              <a:latin typeface="Calibri"/>
              <a:cs typeface="Calibri"/>
            </a:rPr>
            <a:pPr/>
            <a:t>4.32%</a:t>
          </a:fld>
          <a:endParaRPr lang="en-US" sz="1100">
            <a:latin typeface="Arial" pitchFamily="34" charset="0"/>
            <a:cs typeface="Arial" pitchFamily="34" charset="0"/>
          </a:endParaRPr>
        </a:p>
      </cdr:txBody>
    </cdr:sp>
  </cdr:relSizeAnchor>
  <cdr:relSizeAnchor xmlns:cdr="http://schemas.openxmlformats.org/drawingml/2006/chartDrawing">
    <cdr:from>
      <cdr:x>0.64814</cdr:x>
      <cdr:y>0.6729</cdr:y>
    </cdr:from>
    <cdr:to>
      <cdr:x>0.76442</cdr:x>
      <cdr:y>0.72405</cdr:y>
    </cdr:to>
    <cdr:sp macro="" textlink="BG.kGE.f">
      <cdr:nvSpPr>
        <cdr:cNvPr id="26" name="TextBox 1"/>
        <cdr:cNvSpPr txBox="1"/>
      </cdr:nvSpPr>
      <cdr:spPr>
        <a:xfrm xmlns:a="http://schemas.openxmlformats.org/drawingml/2006/main">
          <a:off x="2543253" y="2645774"/>
          <a:ext cx="456273" cy="201118"/>
        </a:xfrm>
        <a:prstGeom xmlns:a="http://schemas.openxmlformats.org/drawingml/2006/main" prst="rect">
          <a:avLst/>
        </a:prstGeom>
        <a:solidFill xmlns:a="http://schemas.openxmlformats.org/drawingml/2006/main">
          <a:schemeClr val="bg1">
            <a:alpha val="80000"/>
          </a:schemeClr>
        </a:solidFill>
        <a:ln xmlns:a="http://schemas.openxmlformats.org/drawingml/2006/main">
          <a:solidFill>
            <a:schemeClr val="tx1">
              <a:lumMod val="50000"/>
              <a:lumOff val="50000"/>
            </a:schemeClr>
          </a:solidFill>
        </a:ln>
      </cdr:spPr>
      <cdr:txBody>
        <a:bodyPr xmlns:a="http://schemas.openxmlformats.org/drawingml/2006/main" wrap="non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080859C-17B0-41F8-B18F-D0A0446E5A93}" type="TxLink">
            <a:rPr lang="en-US" altLang="en-US" sz="1000" b="0" i="0" u="none" strike="noStrike">
              <a:solidFill>
                <a:srgbClr val="000000"/>
              </a:solidFill>
              <a:latin typeface="Calibri"/>
              <a:cs typeface="Calibri"/>
            </a:rPr>
            <a:pPr/>
            <a:t>1.12%</a:t>
          </a:fld>
          <a:endParaRPr lang="en-US" sz="1100">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orksheet___1"/>
  <dimension ref="A1:W66"/>
  <sheetViews>
    <sheetView tabSelected="1" zoomScaleNormal="100" workbookViewId="0">
      <selection activeCell="Q8" sqref="Q8"/>
    </sheetView>
  </sheetViews>
  <sheetFormatPr baseColWidth="10" defaultColWidth="10.6640625" defaultRowHeight="13"/>
  <sheetData>
    <row r="1" spans="1:23">
      <c r="A1" s="1"/>
      <c r="B1" s="1"/>
      <c r="C1" s="1"/>
      <c r="D1" s="1"/>
      <c r="E1" s="1"/>
      <c r="F1" s="1"/>
      <c r="G1" s="1"/>
      <c r="H1" s="1"/>
      <c r="I1" s="1"/>
      <c r="J1" s="1"/>
      <c r="K1" s="1"/>
      <c r="L1" s="1"/>
      <c r="M1" s="1"/>
      <c r="N1" s="1"/>
      <c r="O1" s="1"/>
      <c r="P1" s="1"/>
      <c r="Q1" s="1"/>
      <c r="R1" s="1"/>
      <c r="S1" s="1"/>
      <c r="T1" s="1"/>
      <c r="U1" s="1"/>
      <c r="V1" s="1"/>
      <c r="W1" s="1"/>
    </row>
    <row r="2" spans="1:23">
      <c r="A2" s="1"/>
      <c r="B2" s="1"/>
      <c r="C2" s="1"/>
      <c r="D2" s="1"/>
      <c r="E2" s="1"/>
      <c r="F2" s="1"/>
      <c r="G2" s="1"/>
      <c r="H2" s="1"/>
      <c r="I2" s="1"/>
      <c r="J2" s="1"/>
      <c r="K2" s="1"/>
      <c r="L2" s="1"/>
      <c r="M2" s="1"/>
      <c r="N2" s="1"/>
      <c r="O2" s="1"/>
      <c r="P2" s="1"/>
      <c r="Q2" s="1"/>
      <c r="R2" s="1"/>
      <c r="S2" s="1"/>
      <c r="T2" s="1"/>
      <c r="U2" s="1"/>
      <c r="V2" s="1"/>
      <c r="W2" s="1"/>
    </row>
    <row r="3" spans="1:23">
      <c r="A3" s="1"/>
      <c r="B3" s="1"/>
      <c r="C3" s="1"/>
      <c r="D3" s="1"/>
      <c r="E3" s="1"/>
      <c r="F3" s="1"/>
      <c r="G3" s="1"/>
      <c r="H3" s="1"/>
      <c r="I3" s="1"/>
      <c r="J3" s="1"/>
      <c r="K3" s="1"/>
      <c r="L3" s="1"/>
      <c r="M3" s="1"/>
      <c r="N3" s="1"/>
      <c r="O3" s="1"/>
      <c r="P3" s="1"/>
      <c r="Q3" s="1"/>
      <c r="R3" s="1"/>
      <c r="S3" s="1"/>
      <c r="T3" s="1"/>
      <c r="U3" s="1"/>
      <c r="V3" s="1"/>
      <c r="W3" s="1"/>
    </row>
    <row r="4" spans="1:23">
      <c r="A4" s="1"/>
      <c r="B4" s="1"/>
      <c r="C4" s="1"/>
      <c r="D4" s="1"/>
      <c r="E4" s="1"/>
      <c r="F4" s="1"/>
      <c r="G4" s="1"/>
      <c r="H4" s="1"/>
      <c r="I4" s="1"/>
      <c r="J4" s="1"/>
      <c r="K4" s="1"/>
      <c r="L4" s="1"/>
      <c r="M4" s="1"/>
      <c r="N4" s="1"/>
      <c r="O4" s="1"/>
      <c r="P4" s="1"/>
      <c r="Q4" s="1"/>
      <c r="R4" s="1"/>
      <c r="S4" s="1"/>
      <c r="T4" s="1"/>
      <c r="U4" s="1"/>
      <c r="V4" s="1"/>
      <c r="W4" s="1"/>
    </row>
    <row r="5" spans="1:23">
      <c r="A5" s="1"/>
      <c r="B5" s="1"/>
      <c r="C5" s="1"/>
      <c r="D5" s="1"/>
      <c r="E5" s="1"/>
      <c r="F5" s="1"/>
      <c r="G5" s="1"/>
      <c r="H5" s="1"/>
      <c r="I5" s="1"/>
      <c r="J5" s="1"/>
      <c r="K5" s="1"/>
      <c r="L5" s="1"/>
      <c r="M5" s="1"/>
      <c r="N5" s="1"/>
      <c r="O5" s="1"/>
      <c r="P5" s="1"/>
      <c r="Q5" s="1"/>
      <c r="R5" s="1"/>
      <c r="S5" s="1"/>
      <c r="T5" s="1"/>
      <c r="U5" s="1"/>
      <c r="V5" s="1"/>
      <c r="W5" s="1"/>
    </row>
    <row r="6" spans="1:23">
      <c r="A6" s="1"/>
      <c r="B6" s="1"/>
      <c r="C6" s="1"/>
      <c r="D6" s="1"/>
      <c r="E6" s="1"/>
      <c r="F6" s="1"/>
      <c r="G6" s="1"/>
      <c r="H6" s="1"/>
      <c r="I6" s="1"/>
      <c r="J6" s="1"/>
      <c r="K6" s="1"/>
      <c r="L6" s="1"/>
      <c r="M6" s="1"/>
      <c r="N6" s="1"/>
      <c r="O6" s="1"/>
      <c r="P6" s="1"/>
      <c r="Q6" s="1"/>
      <c r="R6" s="1"/>
      <c r="S6" s="1"/>
      <c r="T6" s="1"/>
      <c r="U6" s="1"/>
      <c r="V6" s="1"/>
      <c r="W6" s="1"/>
    </row>
    <row r="7" spans="1:23">
      <c r="A7" s="1"/>
      <c r="B7" s="1"/>
      <c r="C7" s="1"/>
      <c r="D7" s="1"/>
      <c r="E7" s="1"/>
      <c r="F7" s="1"/>
      <c r="G7" s="1"/>
      <c r="H7" s="1"/>
      <c r="I7" s="1"/>
      <c r="J7" s="1"/>
      <c r="K7" s="1"/>
      <c r="L7" s="1"/>
      <c r="M7" s="1"/>
      <c r="N7" s="1"/>
      <c r="O7" s="1"/>
      <c r="P7" s="1"/>
      <c r="Q7" s="1"/>
      <c r="R7" s="1"/>
      <c r="S7" s="1"/>
      <c r="T7" s="1"/>
      <c r="U7" s="1"/>
      <c r="V7" s="1"/>
      <c r="W7" s="1"/>
    </row>
    <row r="8" spans="1:23">
      <c r="A8" s="1"/>
      <c r="B8" s="1"/>
      <c r="C8" s="1"/>
      <c r="D8" s="1"/>
      <c r="E8" s="1"/>
      <c r="F8" s="1"/>
      <c r="G8" s="1"/>
      <c r="H8" s="1"/>
      <c r="I8" s="1"/>
      <c r="J8" s="1"/>
      <c r="K8" s="1"/>
      <c r="L8" s="1"/>
      <c r="M8" s="1"/>
      <c r="N8" s="1"/>
      <c r="O8" s="1"/>
      <c r="P8" s="1"/>
      <c r="Q8" s="1"/>
      <c r="R8" s="1"/>
      <c r="S8" s="1"/>
      <c r="T8" s="1"/>
      <c r="U8" s="1"/>
      <c r="V8" s="1"/>
      <c r="W8" s="1"/>
    </row>
    <row r="9" spans="1:23">
      <c r="A9" s="1"/>
      <c r="B9" s="1"/>
      <c r="C9" s="1"/>
      <c r="D9" s="1"/>
      <c r="E9" s="1"/>
      <c r="F9" s="1"/>
      <c r="G9" s="1"/>
      <c r="H9" s="1"/>
      <c r="I9" s="1"/>
      <c r="J9" s="1"/>
      <c r="K9" s="1"/>
      <c r="L9" s="1"/>
      <c r="M9" s="1"/>
      <c r="N9" s="1"/>
      <c r="O9" s="1"/>
      <c r="P9" s="1"/>
      <c r="Q9" s="1"/>
      <c r="R9" s="1"/>
      <c r="S9" s="1"/>
      <c r="T9" s="1"/>
      <c r="U9" s="1"/>
      <c r="V9" s="1"/>
      <c r="W9" s="1"/>
    </row>
    <row r="10" spans="1:23">
      <c r="A10" s="1"/>
      <c r="B10" s="1"/>
      <c r="C10" s="1"/>
      <c r="D10" s="1"/>
      <c r="E10" s="1"/>
      <c r="F10" s="1"/>
      <c r="G10" s="1"/>
      <c r="H10" s="1"/>
      <c r="I10" s="1"/>
      <c r="J10" s="1"/>
      <c r="K10" s="1"/>
      <c r="L10" s="1"/>
      <c r="M10" s="1"/>
      <c r="N10" s="1"/>
      <c r="O10" s="1"/>
      <c r="P10" s="1"/>
      <c r="Q10" s="1"/>
      <c r="R10" s="1"/>
      <c r="S10" s="1"/>
      <c r="T10" s="1"/>
      <c r="U10" s="1"/>
      <c r="V10" s="1"/>
      <c r="W10" s="1"/>
    </row>
    <row r="11" spans="1:23">
      <c r="A11" s="1"/>
      <c r="B11" s="1"/>
      <c r="C11" s="1"/>
      <c r="D11" s="1"/>
      <c r="E11" s="1"/>
      <c r="F11" s="1"/>
      <c r="G11" s="1"/>
      <c r="H11" s="1"/>
      <c r="I11" s="1"/>
      <c r="J11" s="1"/>
      <c r="K11" s="1"/>
      <c r="L11" s="1"/>
      <c r="M11" s="1"/>
      <c r="N11" s="1"/>
      <c r="O11" s="1"/>
      <c r="P11" s="1"/>
      <c r="Q11" s="1"/>
      <c r="R11" s="1"/>
      <c r="S11" s="1"/>
      <c r="T11" s="1"/>
      <c r="U11" s="1"/>
      <c r="V11" s="1"/>
      <c r="W11" s="1"/>
    </row>
    <row r="12" spans="1:23">
      <c r="A12" s="1"/>
      <c r="B12" s="1"/>
      <c r="C12" s="1"/>
      <c r="D12" s="1"/>
      <c r="E12" s="1"/>
      <c r="F12" s="1"/>
      <c r="G12" s="1"/>
      <c r="H12" s="1"/>
      <c r="I12" s="1"/>
      <c r="J12" s="1"/>
      <c r="K12" s="1"/>
      <c r="L12" s="1"/>
      <c r="M12" s="1"/>
      <c r="N12" s="1"/>
      <c r="O12" s="1"/>
      <c r="P12" s="1"/>
      <c r="Q12" s="1"/>
      <c r="R12" s="1"/>
      <c r="S12" s="1"/>
      <c r="T12" s="1"/>
      <c r="U12" s="1"/>
      <c r="V12" s="1"/>
      <c r="W12" s="1"/>
    </row>
    <row r="13" spans="1:23">
      <c r="A13" s="1"/>
      <c r="B13" s="1"/>
      <c r="C13" s="1"/>
      <c r="D13" s="1"/>
      <c r="E13" s="1"/>
      <c r="F13" s="1"/>
      <c r="G13" s="1"/>
      <c r="H13" s="1"/>
      <c r="I13" s="1"/>
      <c r="J13" s="1"/>
      <c r="K13" s="1"/>
      <c r="L13" s="1"/>
      <c r="M13" s="1"/>
      <c r="N13" s="1"/>
      <c r="O13" s="1"/>
      <c r="P13" s="1"/>
      <c r="Q13" s="1"/>
      <c r="R13" s="1"/>
      <c r="S13" s="1"/>
      <c r="T13" s="1"/>
      <c r="U13" s="1"/>
      <c r="V13" s="1"/>
      <c r="W13" s="1"/>
    </row>
    <row r="14" spans="1:23">
      <c r="A14" s="1"/>
      <c r="B14" s="1"/>
      <c r="C14" s="1"/>
      <c r="D14" s="1"/>
      <c r="E14" s="1"/>
      <c r="F14" s="1"/>
      <c r="G14" s="1"/>
      <c r="H14" s="1"/>
      <c r="I14" s="1"/>
      <c r="J14" s="1"/>
      <c r="K14" s="1"/>
      <c r="L14" s="1"/>
      <c r="M14" s="1"/>
      <c r="N14" s="1"/>
      <c r="O14" s="1"/>
      <c r="P14" s="1"/>
      <c r="Q14" s="1"/>
      <c r="R14" s="1"/>
      <c r="S14" s="1"/>
      <c r="T14" s="1"/>
      <c r="U14" s="1"/>
      <c r="V14" s="1"/>
      <c r="W14" s="1"/>
    </row>
    <row r="15" spans="1:23">
      <c r="A15" s="1"/>
      <c r="B15" s="1"/>
      <c r="C15" s="1"/>
      <c r="D15" s="1"/>
      <c r="E15" s="1"/>
      <c r="F15" s="1"/>
      <c r="G15" s="1"/>
      <c r="H15" s="1"/>
      <c r="I15" s="1"/>
      <c r="J15" s="1"/>
      <c r="K15" s="1"/>
      <c r="L15" s="1"/>
      <c r="M15" s="1"/>
      <c r="N15" s="1"/>
      <c r="O15" s="1"/>
      <c r="P15" s="1"/>
      <c r="Q15" s="1"/>
      <c r="R15" s="1"/>
      <c r="S15" s="1"/>
      <c r="T15" s="1"/>
      <c r="U15" s="1"/>
      <c r="V15" s="1"/>
      <c r="W15" s="1"/>
    </row>
    <row r="16" spans="1:23">
      <c r="A16" s="1"/>
      <c r="B16" s="1"/>
      <c r="C16" s="1"/>
      <c r="D16" s="1"/>
      <c r="E16" s="1"/>
      <c r="F16" s="1"/>
      <c r="G16" s="1"/>
      <c r="H16" s="1"/>
      <c r="I16" s="1"/>
      <c r="J16" s="1"/>
      <c r="K16" s="1"/>
      <c r="L16" s="1"/>
      <c r="M16" s="1"/>
      <c r="N16" s="1"/>
      <c r="O16" s="1"/>
      <c r="P16" s="1"/>
      <c r="Q16" s="1"/>
      <c r="R16" s="1"/>
      <c r="S16" s="1"/>
      <c r="T16" s="1"/>
      <c r="U16" s="1"/>
      <c r="V16" s="1"/>
      <c r="W16" s="1"/>
    </row>
    <row r="17" spans="1:23">
      <c r="A17" s="1"/>
      <c r="B17" s="1"/>
      <c r="C17" s="1"/>
      <c r="D17" s="1"/>
      <c r="E17" s="1"/>
      <c r="F17" s="1"/>
      <c r="G17" s="1"/>
      <c r="H17" s="1"/>
      <c r="I17" s="1"/>
      <c r="J17" s="1"/>
      <c r="K17" s="1"/>
      <c r="L17" s="1"/>
      <c r="M17" s="1"/>
      <c r="N17" s="1"/>
      <c r="O17" s="1"/>
      <c r="P17" s="1"/>
      <c r="Q17" s="1"/>
      <c r="R17" s="1"/>
      <c r="S17" s="1"/>
      <c r="T17" s="1"/>
      <c r="U17" s="1"/>
      <c r="V17" s="1"/>
      <c r="W17" s="1"/>
    </row>
    <row r="18" spans="1:23">
      <c r="A18" s="1"/>
      <c r="B18" s="1"/>
      <c r="C18" s="1"/>
      <c r="D18" s="1"/>
      <c r="E18" s="1"/>
      <c r="F18" s="1"/>
      <c r="G18" s="1"/>
      <c r="H18" s="1"/>
      <c r="I18" s="1"/>
      <c r="J18" s="1"/>
      <c r="K18" s="1"/>
      <c r="L18" s="1"/>
      <c r="M18" s="1"/>
      <c r="N18" s="1"/>
      <c r="O18" s="1"/>
      <c r="P18" s="1"/>
      <c r="Q18" s="1"/>
      <c r="R18" s="1"/>
      <c r="S18" s="1"/>
      <c r="T18" s="1"/>
      <c r="U18" s="1"/>
      <c r="V18" s="1"/>
      <c r="W18" s="1"/>
    </row>
    <row r="19" spans="1:23">
      <c r="A19" s="1"/>
      <c r="B19" s="1"/>
      <c r="C19" s="1"/>
      <c r="D19" s="1"/>
      <c r="E19" s="1"/>
      <c r="F19" s="1"/>
      <c r="G19" s="1"/>
      <c r="H19" s="1"/>
      <c r="I19" s="1"/>
      <c r="J19" s="1"/>
      <c r="K19" s="1"/>
      <c r="L19" s="1"/>
      <c r="M19" s="1"/>
      <c r="N19" s="1"/>
      <c r="O19" s="1"/>
      <c r="P19" s="1"/>
      <c r="Q19" s="1"/>
      <c r="R19" s="1"/>
      <c r="S19" s="1"/>
      <c r="T19" s="1"/>
      <c r="U19" s="1"/>
      <c r="V19" s="1"/>
      <c r="W19" s="1"/>
    </row>
    <row r="20" spans="1:23">
      <c r="A20" s="1"/>
      <c r="B20" s="1"/>
      <c r="C20" s="1"/>
      <c r="D20" s="1"/>
      <c r="E20" s="1"/>
      <c r="F20" s="1"/>
      <c r="G20" s="1"/>
      <c r="H20" s="1"/>
      <c r="I20" s="1"/>
      <c r="J20" s="1"/>
      <c r="K20" s="1"/>
      <c r="L20" s="1"/>
      <c r="M20" s="1"/>
      <c r="N20" s="1"/>
      <c r="O20" s="1"/>
      <c r="P20" s="1"/>
      <c r="Q20" s="1"/>
      <c r="R20" s="1"/>
      <c r="S20" s="1"/>
      <c r="T20" s="1"/>
      <c r="U20" s="1"/>
      <c r="V20" s="1"/>
      <c r="W20" s="1"/>
    </row>
    <row r="21" spans="1:23">
      <c r="A21" s="1"/>
      <c r="B21" s="1"/>
      <c r="C21" s="1"/>
      <c r="D21" s="1"/>
      <c r="E21" s="1"/>
      <c r="F21" s="1"/>
      <c r="G21" s="1"/>
      <c r="H21" s="1"/>
      <c r="I21" s="1"/>
      <c r="J21" s="1"/>
      <c r="K21" s="1"/>
      <c r="L21" s="1"/>
      <c r="M21" s="1"/>
      <c r="N21" s="1"/>
      <c r="O21" s="1"/>
      <c r="P21" s="1"/>
      <c r="Q21" s="1"/>
      <c r="R21" s="1"/>
      <c r="S21" s="1"/>
      <c r="T21" s="1"/>
      <c r="U21" s="1"/>
      <c r="V21" s="1"/>
      <c r="W21" s="1"/>
    </row>
    <row r="22" spans="1:23">
      <c r="A22" s="1"/>
      <c r="B22" s="1"/>
      <c r="C22" s="1"/>
      <c r="D22" s="1"/>
      <c r="E22" s="1"/>
      <c r="F22" s="1"/>
      <c r="G22" s="1"/>
      <c r="H22" s="1"/>
      <c r="I22" s="1"/>
      <c r="J22" s="1"/>
      <c r="K22" s="1"/>
      <c r="L22" s="1"/>
      <c r="M22" s="1"/>
      <c r="N22" s="1"/>
      <c r="O22" s="1"/>
      <c r="P22" s="1"/>
      <c r="Q22" s="1"/>
      <c r="R22" s="1"/>
      <c r="S22" s="1"/>
      <c r="T22" s="1"/>
      <c r="U22" s="1"/>
      <c r="V22" s="1"/>
      <c r="W22" s="1"/>
    </row>
    <row r="23" spans="1:23">
      <c r="A23" s="1"/>
      <c r="B23" s="1"/>
      <c r="C23" s="1"/>
      <c r="D23" s="1"/>
      <c r="E23" s="1"/>
      <c r="F23" s="1"/>
      <c r="G23" s="1"/>
      <c r="H23" s="1"/>
      <c r="I23" s="1"/>
      <c r="J23" s="1"/>
      <c r="K23" s="1"/>
      <c r="L23" s="1"/>
      <c r="M23" s="1"/>
      <c r="N23" s="1"/>
      <c r="O23" s="1"/>
      <c r="P23" s="1"/>
      <c r="Q23" s="1"/>
      <c r="R23" s="1"/>
      <c r="S23" s="1"/>
      <c r="T23" s="1"/>
      <c r="U23" s="1"/>
      <c r="V23" s="1"/>
      <c r="W23" s="1"/>
    </row>
    <row r="24" spans="1:23">
      <c r="A24" s="1"/>
      <c r="B24" s="1"/>
      <c r="C24" s="1"/>
      <c r="D24" s="1"/>
      <c r="E24" s="1"/>
      <c r="F24" s="1"/>
      <c r="G24" s="1"/>
      <c r="H24" s="1"/>
      <c r="I24" s="1"/>
      <c r="J24" s="1"/>
      <c r="K24" s="1"/>
      <c r="L24" s="1"/>
      <c r="M24" s="1"/>
      <c r="N24" s="1"/>
      <c r="O24" s="1"/>
      <c r="P24" s="1"/>
      <c r="Q24" s="1"/>
      <c r="R24" s="1"/>
      <c r="S24" s="1"/>
      <c r="T24" s="1"/>
      <c r="U24" s="1"/>
      <c r="V24" s="1"/>
      <c r="W24" s="1"/>
    </row>
    <row r="25" spans="1:23">
      <c r="A25" s="1"/>
      <c r="B25" s="1"/>
      <c r="C25" s="1"/>
      <c r="D25" s="1"/>
      <c r="E25" s="1"/>
      <c r="F25" s="1"/>
      <c r="G25" s="1"/>
      <c r="H25" s="1"/>
      <c r="I25" s="1"/>
      <c r="J25" s="1"/>
      <c r="K25" s="1"/>
      <c r="L25" s="1"/>
      <c r="M25" s="1"/>
      <c r="N25" s="1"/>
      <c r="O25" s="1"/>
      <c r="P25" s="1"/>
      <c r="Q25" s="1"/>
      <c r="R25" s="1"/>
      <c r="S25" s="1"/>
      <c r="T25" s="1"/>
      <c r="U25" s="1"/>
      <c r="V25" s="1"/>
      <c r="W25" s="1"/>
    </row>
    <row r="26" spans="1:23">
      <c r="A26" s="1"/>
      <c r="B26" s="1"/>
      <c r="C26" s="1"/>
      <c r="D26" s="1"/>
      <c r="E26" s="1"/>
      <c r="F26" s="1"/>
      <c r="G26" s="1"/>
      <c r="H26" s="1"/>
      <c r="I26" s="1"/>
      <c r="J26" s="1"/>
      <c r="K26" s="1"/>
      <c r="L26" s="1"/>
      <c r="M26" s="1"/>
      <c r="N26" s="1"/>
      <c r="O26" s="1"/>
      <c r="P26" s="1"/>
      <c r="Q26" s="1"/>
      <c r="R26" s="1"/>
      <c r="S26" s="1"/>
      <c r="T26" s="1"/>
      <c r="U26" s="1"/>
      <c r="V26" s="1"/>
      <c r="W26" s="1"/>
    </row>
    <row r="27" spans="1:23">
      <c r="A27" s="1"/>
      <c r="B27" s="1"/>
      <c r="C27" s="1"/>
      <c r="D27" s="1"/>
      <c r="E27" s="1"/>
      <c r="F27" s="1"/>
      <c r="G27" s="1"/>
      <c r="H27" s="1"/>
      <c r="I27" s="1"/>
      <c r="J27" s="1"/>
      <c r="K27" s="1"/>
      <c r="L27" s="1"/>
      <c r="M27" s="1"/>
      <c r="N27" s="1"/>
      <c r="O27" s="1"/>
      <c r="P27" s="1"/>
      <c r="Q27" s="1"/>
      <c r="R27" s="1"/>
      <c r="S27" s="1"/>
      <c r="T27" s="1"/>
      <c r="U27" s="1"/>
      <c r="V27" s="1"/>
      <c r="W27" s="1"/>
    </row>
    <row r="28" spans="1:23">
      <c r="A28" s="1"/>
      <c r="B28" s="1"/>
      <c r="C28" s="1"/>
      <c r="D28" s="1"/>
      <c r="E28" s="1"/>
      <c r="F28" s="1"/>
      <c r="G28" s="1"/>
      <c r="H28" s="1"/>
      <c r="I28" s="1"/>
      <c r="J28" s="1"/>
      <c r="K28" s="1"/>
      <c r="L28" s="1"/>
      <c r="M28" s="1"/>
      <c r="N28" s="1"/>
      <c r="O28" s="1"/>
      <c r="P28" s="1"/>
      <c r="Q28" s="1"/>
      <c r="R28" s="1"/>
      <c r="S28" s="1"/>
      <c r="T28" s="1"/>
      <c r="U28" s="1"/>
      <c r="V28" s="1"/>
      <c r="W28" s="1"/>
    </row>
    <row r="29" spans="1:23">
      <c r="A29" s="1"/>
      <c r="B29" s="1"/>
      <c r="C29" s="1"/>
      <c r="D29" s="1"/>
      <c r="E29" s="1"/>
      <c r="F29" s="1"/>
      <c r="G29" s="1"/>
      <c r="H29" s="1"/>
      <c r="I29" s="1"/>
      <c r="J29" s="1"/>
      <c r="K29" s="1"/>
      <c r="L29" s="1"/>
      <c r="M29" s="1"/>
      <c r="N29" s="1"/>
      <c r="O29" s="1"/>
      <c r="P29" s="1"/>
      <c r="Q29" s="1"/>
      <c r="R29" s="1"/>
      <c r="S29" s="1"/>
      <c r="T29" s="1"/>
      <c r="U29" s="1"/>
      <c r="V29" s="1"/>
      <c r="W29" s="1"/>
    </row>
    <row r="30" spans="1:23">
      <c r="A30" s="1"/>
      <c r="B30" s="1"/>
      <c r="C30" s="1"/>
      <c r="D30" s="1"/>
      <c r="E30" s="1"/>
      <c r="F30" s="1"/>
      <c r="G30" s="1"/>
      <c r="H30" s="1"/>
      <c r="I30" s="1"/>
      <c r="J30" s="1"/>
      <c r="K30" s="1"/>
      <c r="L30" s="1"/>
      <c r="M30" s="1"/>
      <c r="N30" s="1"/>
      <c r="O30" s="1"/>
      <c r="P30" s="1"/>
      <c r="Q30" s="1"/>
      <c r="R30" s="1"/>
      <c r="S30" s="1"/>
      <c r="T30" s="1"/>
      <c r="U30" s="1"/>
      <c r="V30" s="1"/>
      <c r="W30" s="1"/>
    </row>
    <row r="31" spans="1:23">
      <c r="A31" s="1"/>
      <c r="B31" s="1"/>
      <c r="C31" s="1"/>
      <c r="D31" s="1"/>
      <c r="E31" s="1"/>
      <c r="F31" s="1"/>
      <c r="G31" s="1"/>
      <c r="H31" s="1"/>
      <c r="I31" s="1"/>
      <c r="J31" s="1"/>
      <c r="K31" s="1"/>
      <c r="L31" s="1"/>
      <c r="M31" s="1"/>
      <c r="N31" s="1"/>
      <c r="O31" s="1"/>
      <c r="P31" s="1"/>
      <c r="Q31" s="1"/>
      <c r="R31" s="1"/>
      <c r="S31" s="1"/>
      <c r="T31" s="1"/>
      <c r="U31" s="1"/>
      <c r="V31" s="1"/>
      <c r="W31" s="1"/>
    </row>
    <row r="32" spans="1:23">
      <c r="A32" s="1"/>
      <c r="B32" s="1"/>
      <c r="C32" s="1"/>
      <c r="D32" s="1"/>
      <c r="E32" s="1"/>
      <c r="F32" s="1"/>
      <c r="G32" s="1"/>
      <c r="H32" s="1"/>
      <c r="I32" s="1"/>
      <c r="J32" s="1"/>
      <c r="K32" s="1"/>
      <c r="L32" s="1"/>
      <c r="M32" s="1"/>
      <c r="N32" s="1"/>
      <c r="O32" s="1"/>
      <c r="P32" s="1"/>
      <c r="Q32" s="1"/>
      <c r="R32" s="1"/>
      <c r="S32" s="1"/>
      <c r="T32" s="1"/>
      <c r="U32" s="1"/>
      <c r="V32" s="1"/>
      <c r="W32" s="1"/>
    </row>
    <row r="33" spans="1:23">
      <c r="A33" s="1"/>
      <c r="B33" s="1"/>
      <c r="C33" s="1"/>
      <c r="D33" s="1"/>
      <c r="E33" s="1"/>
      <c r="F33" s="1"/>
      <c r="G33" s="1"/>
      <c r="H33" s="1"/>
      <c r="I33" s="1"/>
      <c r="J33" s="1"/>
      <c r="K33" s="1"/>
      <c r="L33" s="1"/>
      <c r="M33" s="1"/>
      <c r="N33" s="1"/>
      <c r="O33" s="1"/>
      <c r="P33" s="1"/>
      <c r="Q33" s="1"/>
      <c r="R33" s="1"/>
      <c r="S33" s="1"/>
      <c r="T33" s="1"/>
      <c r="U33" s="1"/>
      <c r="V33" s="1"/>
      <c r="W33" s="1"/>
    </row>
    <row r="34" spans="1:23">
      <c r="A34" s="1"/>
      <c r="B34" s="1"/>
      <c r="C34" s="1"/>
      <c r="D34" s="1"/>
      <c r="E34" s="1"/>
      <c r="F34" s="1"/>
      <c r="G34" s="1"/>
      <c r="H34" s="1"/>
      <c r="I34" s="1"/>
      <c r="J34" s="1"/>
      <c r="K34" s="1"/>
      <c r="L34" s="1"/>
      <c r="M34" s="1"/>
      <c r="N34" s="1"/>
      <c r="O34" s="1"/>
      <c r="P34" s="1"/>
      <c r="Q34" s="1"/>
      <c r="R34" s="1"/>
      <c r="S34" s="1"/>
      <c r="T34" s="1"/>
      <c r="U34" s="1"/>
      <c r="V34" s="1"/>
      <c r="W34" s="1"/>
    </row>
    <row r="35" spans="1:23">
      <c r="A35" s="1"/>
      <c r="B35" s="1"/>
      <c r="C35" s="1"/>
      <c r="D35" s="1"/>
      <c r="E35" s="1"/>
      <c r="F35" s="1"/>
      <c r="G35" s="1"/>
      <c r="H35" s="1"/>
      <c r="I35" s="1"/>
      <c r="J35" s="1"/>
      <c r="K35" s="1"/>
      <c r="L35" s="1"/>
      <c r="M35" s="1"/>
      <c r="N35" s="1"/>
      <c r="O35" s="1"/>
      <c r="P35" s="1"/>
      <c r="Q35" s="1"/>
      <c r="R35" s="1"/>
      <c r="S35" s="1"/>
      <c r="T35" s="1"/>
      <c r="U35" s="1"/>
      <c r="V35" s="1"/>
      <c r="W35" s="1"/>
    </row>
    <row r="36" spans="1:23">
      <c r="A36" s="1"/>
      <c r="B36" s="1"/>
      <c r="C36" s="1"/>
      <c r="D36" s="1"/>
      <c r="E36" s="1"/>
      <c r="F36" s="1"/>
      <c r="G36" s="1"/>
      <c r="H36" s="1"/>
      <c r="I36" s="1"/>
      <c r="J36" s="1"/>
      <c r="K36" s="1"/>
      <c r="L36" s="1"/>
      <c r="M36" s="1"/>
      <c r="N36" s="1"/>
      <c r="O36" s="1"/>
      <c r="P36" s="1"/>
      <c r="Q36" s="1"/>
      <c r="R36" s="1"/>
      <c r="S36" s="1"/>
      <c r="T36" s="1"/>
      <c r="U36" s="1"/>
      <c r="V36" s="1"/>
      <c r="W36" s="1"/>
    </row>
    <row r="37" spans="1:23">
      <c r="A37" s="1"/>
      <c r="B37" s="1"/>
      <c r="C37" s="1"/>
      <c r="D37" s="1"/>
      <c r="E37" s="1"/>
      <c r="F37" s="1"/>
      <c r="G37" s="1"/>
      <c r="H37" s="1"/>
      <c r="I37" s="1"/>
      <c r="J37" s="1"/>
      <c r="K37" s="1"/>
      <c r="L37" s="1"/>
      <c r="M37" s="1"/>
      <c r="N37" s="1"/>
      <c r="O37" s="1"/>
      <c r="P37" s="1"/>
      <c r="Q37" s="1"/>
      <c r="R37" s="1"/>
      <c r="S37" s="1"/>
      <c r="T37" s="1"/>
      <c r="U37" s="1"/>
      <c r="V37" s="1"/>
      <c r="W37" s="1"/>
    </row>
    <row r="38" spans="1:23">
      <c r="A38" s="1"/>
      <c r="B38" s="1"/>
      <c r="C38" s="1"/>
      <c r="D38" s="1"/>
      <c r="E38" s="1"/>
      <c r="F38" s="1"/>
      <c r="G38" s="1"/>
      <c r="H38" s="1"/>
      <c r="I38" s="1"/>
      <c r="J38" s="1"/>
      <c r="K38" s="1"/>
      <c r="L38" s="1"/>
      <c r="M38" s="1"/>
      <c r="N38" s="1"/>
      <c r="O38" s="1"/>
      <c r="P38" s="1"/>
      <c r="Q38" s="1"/>
      <c r="R38" s="1"/>
      <c r="S38" s="1"/>
      <c r="T38" s="1"/>
      <c r="U38" s="1"/>
      <c r="V38" s="1"/>
      <c r="W38" s="1"/>
    </row>
    <row r="39" spans="1:23">
      <c r="A39" s="1"/>
      <c r="B39" s="1"/>
      <c r="C39" s="1"/>
      <c r="D39" s="1"/>
      <c r="E39" s="1"/>
      <c r="F39" s="1"/>
      <c r="G39" s="1"/>
      <c r="H39" s="1"/>
      <c r="I39" s="1"/>
      <c r="J39" s="1"/>
      <c r="K39" s="1"/>
      <c r="L39" s="1"/>
      <c r="M39" s="1"/>
      <c r="N39" s="1"/>
      <c r="O39" s="1"/>
      <c r="P39" s="1"/>
      <c r="Q39" s="1"/>
      <c r="R39" s="1"/>
      <c r="S39" s="1"/>
      <c r="T39" s="1"/>
      <c r="U39" s="1"/>
      <c r="V39" s="1"/>
      <c r="W39" s="1"/>
    </row>
    <row r="40" spans="1:23">
      <c r="A40" s="1"/>
      <c r="B40" s="1"/>
      <c r="C40" s="1"/>
      <c r="D40" s="1"/>
      <c r="E40" s="1"/>
      <c r="F40" s="1"/>
      <c r="G40" s="1"/>
      <c r="H40" s="1"/>
      <c r="I40" s="1"/>
      <c r="J40" s="1"/>
      <c r="K40" s="1"/>
      <c r="L40" s="1"/>
      <c r="M40" s="1"/>
      <c r="N40" s="1"/>
      <c r="O40" s="1"/>
      <c r="P40" s="1"/>
      <c r="Q40" s="1"/>
      <c r="R40" s="1"/>
      <c r="S40" s="1"/>
      <c r="T40" s="1"/>
      <c r="U40" s="1"/>
      <c r="V40" s="1"/>
      <c r="W40" s="1"/>
    </row>
    <row r="41" spans="1:23">
      <c r="A41" s="1"/>
      <c r="B41" s="1"/>
      <c r="C41" s="1"/>
      <c r="D41" s="1"/>
      <c r="E41" s="1"/>
      <c r="F41" s="1"/>
      <c r="G41" s="1"/>
      <c r="H41" s="1"/>
      <c r="I41" s="1"/>
      <c r="J41" s="1"/>
      <c r="K41" s="1"/>
      <c r="L41" s="1"/>
      <c r="M41" s="1"/>
      <c r="N41" s="1"/>
      <c r="O41" s="1"/>
      <c r="P41" s="1"/>
      <c r="Q41" s="1"/>
      <c r="R41" s="1"/>
      <c r="S41" s="1"/>
      <c r="T41" s="1"/>
      <c r="U41" s="1"/>
      <c r="V41" s="1"/>
      <c r="W41" s="1"/>
    </row>
    <row r="42" spans="1:23">
      <c r="A42" s="1"/>
      <c r="B42" s="1"/>
      <c r="C42" s="1"/>
      <c r="D42" s="1"/>
      <c r="E42" s="1"/>
      <c r="F42" s="1"/>
      <c r="G42" s="1"/>
      <c r="H42" s="1"/>
      <c r="I42" s="1"/>
      <c r="J42" s="1"/>
      <c r="K42" s="1"/>
      <c r="L42" s="1"/>
      <c r="M42" s="1"/>
      <c r="N42" s="1"/>
      <c r="O42" s="1"/>
      <c r="P42" s="1"/>
      <c r="Q42" s="1"/>
      <c r="R42" s="1"/>
      <c r="S42" s="1"/>
      <c r="T42" s="1"/>
      <c r="U42" s="1"/>
      <c r="V42" s="1"/>
      <c r="W42" s="1"/>
    </row>
    <row r="43" spans="1:23">
      <c r="A43" s="1"/>
      <c r="B43" s="1"/>
      <c r="C43" s="1"/>
      <c r="D43" s="1"/>
      <c r="E43" s="1"/>
      <c r="F43" s="1"/>
      <c r="G43" s="1"/>
      <c r="H43" s="1"/>
      <c r="I43" s="1"/>
      <c r="J43" s="1"/>
      <c r="K43" s="1"/>
      <c r="L43" s="1"/>
      <c r="M43" s="1"/>
      <c r="N43" s="1"/>
      <c r="O43" s="1"/>
      <c r="P43" s="1"/>
      <c r="Q43" s="1"/>
      <c r="R43" s="1"/>
      <c r="S43" s="1"/>
      <c r="T43" s="1"/>
      <c r="U43" s="1"/>
      <c r="V43" s="1"/>
      <c r="W43" s="1"/>
    </row>
    <row r="44" spans="1:23">
      <c r="A44" s="1"/>
      <c r="B44" s="1"/>
      <c r="C44" s="1"/>
      <c r="D44" s="1"/>
      <c r="E44" s="1"/>
      <c r="F44" s="1"/>
      <c r="G44" s="1"/>
      <c r="H44" s="1"/>
      <c r="I44" s="1"/>
      <c r="J44" s="1"/>
      <c r="K44" s="1"/>
      <c r="L44" s="1"/>
      <c r="M44" s="1"/>
      <c r="N44" s="1"/>
      <c r="O44" s="1"/>
      <c r="P44" s="1"/>
      <c r="Q44" s="1"/>
      <c r="R44" s="1"/>
      <c r="S44" s="1"/>
      <c r="T44" s="1"/>
      <c r="U44" s="1"/>
      <c r="V44" s="1"/>
      <c r="W44" s="1"/>
    </row>
    <row r="45" spans="1:23">
      <c r="A45" s="1"/>
      <c r="B45" s="1"/>
      <c r="C45" s="1"/>
      <c r="D45" s="1"/>
      <c r="E45" s="1"/>
      <c r="F45" s="1"/>
      <c r="G45" s="1"/>
      <c r="H45" s="1"/>
      <c r="I45" s="1"/>
      <c r="J45" s="1"/>
      <c r="K45" s="1"/>
      <c r="L45" s="1"/>
      <c r="M45" s="1"/>
      <c r="N45" s="1"/>
      <c r="O45" s="1"/>
      <c r="P45" s="1"/>
      <c r="Q45" s="1"/>
      <c r="R45" s="1"/>
      <c r="S45" s="1"/>
      <c r="T45" s="1"/>
      <c r="U45" s="1"/>
      <c r="V45" s="1"/>
      <c r="W45" s="1"/>
    </row>
    <row r="46" spans="1:23">
      <c r="A46" s="1"/>
      <c r="B46" s="1"/>
      <c r="C46" s="1"/>
      <c r="D46" s="1"/>
      <c r="E46" s="1"/>
      <c r="F46" s="1"/>
      <c r="G46" s="1"/>
      <c r="H46" s="1"/>
      <c r="I46" s="1"/>
      <c r="J46" s="1"/>
      <c r="K46" s="1"/>
      <c r="L46" s="1"/>
      <c r="M46" s="1"/>
      <c r="N46" s="1"/>
      <c r="O46" s="1"/>
      <c r="P46" s="1"/>
      <c r="Q46" s="1"/>
      <c r="R46" s="1"/>
      <c r="S46" s="1"/>
      <c r="T46" s="1"/>
      <c r="U46" s="1"/>
      <c r="V46" s="1"/>
      <c r="W46" s="1"/>
    </row>
    <row r="47" spans="1:23">
      <c r="A47" s="1"/>
      <c r="B47" s="1"/>
      <c r="C47" s="1"/>
      <c r="D47" s="1"/>
      <c r="E47" s="1"/>
      <c r="F47" s="1"/>
      <c r="G47" s="1"/>
      <c r="H47" s="1"/>
      <c r="I47" s="1"/>
      <c r="J47" s="1"/>
      <c r="K47" s="1"/>
      <c r="L47" s="1"/>
      <c r="M47" s="1"/>
      <c r="N47" s="1"/>
      <c r="O47" s="1"/>
      <c r="P47" s="1"/>
      <c r="Q47" s="1"/>
      <c r="R47" s="1"/>
      <c r="S47" s="1"/>
      <c r="T47" s="1"/>
      <c r="U47" s="1"/>
      <c r="V47" s="1"/>
      <c r="W47" s="1"/>
    </row>
    <row r="48" spans="1:23">
      <c r="A48" s="1"/>
      <c r="B48" s="1"/>
      <c r="C48" s="1"/>
      <c r="D48" s="1"/>
      <c r="E48" s="1"/>
      <c r="F48" s="1"/>
      <c r="G48" s="1"/>
      <c r="H48" s="1"/>
      <c r="I48" s="1"/>
      <c r="J48" s="1"/>
      <c r="K48" s="1"/>
      <c r="L48" s="1"/>
      <c r="M48" s="1"/>
      <c r="N48" s="1"/>
      <c r="O48" s="1"/>
      <c r="P48" s="1"/>
      <c r="Q48" s="1"/>
      <c r="R48" s="1"/>
      <c r="S48" s="1"/>
      <c r="T48" s="1"/>
      <c r="U48" s="1"/>
      <c r="V48" s="1"/>
      <c r="W48" s="1"/>
    </row>
    <row r="49" spans="1:23">
      <c r="A49" s="1"/>
      <c r="B49" s="1"/>
      <c r="C49" s="1"/>
      <c r="D49" s="1"/>
      <c r="E49" s="1"/>
      <c r="F49" s="1"/>
      <c r="G49" s="1"/>
      <c r="H49" s="1"/>
      <c r="I49" s="1"/>
      <c r="J49" s="1"/>
      <c r="K49" s="1"/>
      <c r="L49" s="1"/>
      <c r="M49" s="1"/>
      <c r="N49" s="1"/>
      <c r="O49" s="1"/>
      <c r="P49" s="1"/>
      <c r="Q49" s="1"/>
      <c r="R49" s="1"/>
      <c r="S49" s="1"/>
      <c r="T49" s="1"/>
      <c r="U49" s="1"/>
      <c r="V49" s="1"/>
      <c r="W49" s="1"/>
    </row>
    <row r="50" spans="1:23">
      <c r="A50" s="1"/>
      <c r="B50" s="1"/>
      <c r="C50" s="1"/>
      <c r="D50" s="1"/>
      <c r="E50" s="1"/>
      <c r="F50" s="1"/>
      <c r="G50" s="1"/>
      <c r="H50" s="1"/>
      <c r="I50" s="1"/>
      <c r="J50" s="1"/>
      <c r="K50" s="1"/>
      <c r="L50" s="1"/>
      <c r="M50" s="1"/>
      <c r="N50" s="1"/>
      <c r="O50" s="1"/>
      <c r="P50" s="1"/>
      <c r="Q50" s="1"/>
      <c r="R50" s="1"/>
      <c r="S50" s="1"/>
      <c r="T50" s="1"/>
      <c r="U50" s="1"/>
      <c r="V50" s="1"/>
      <c r="W50" s="1"/>
    </row>
    <row r="51" spans="1:23">
      <c r="A51" s="1"/>
      <c r="B51" s="1"/>
      <c r="C51" s="1"/>
      <c r="D51" s="1"/>
      <c r="E51" s="1"/>
      <c r="F51" s="1"/>
      <c r="G51" s="1"/>
      <c r="H51" s="1"/>
      <c r="I51" s="1"/>
      <c r="J51" s="1"/>
      <c r="K51" s="1"/>
      <c r="L51" s="1"/>
      <c r="M51" s="1"/>
      <c r="N51" s="1"/>
      <c r="O51" s="1"/>
      <c r="P51" s="1"/>
      <c r="Q51" s="1"/>
      <c r="R51" s="1"/>
      <c r="S51" s="1"/>
      <c r="T51" s="1"/>
      <c r="U51" s="1"/>
      <c r="V51" s="1"/>
      <c r="W51" s="1"/>
    </row>
    <row r="52" spans="1:23">
      <c r="A52" s="1"/>
      <c r="B52" s="1"/>
      <c r="C52" s="1"/>
      <c r="D52" s="1"/>
      <c r="E52" s="1"/>
      <c r="F52" s="1"/>
      <c r="G52" s="1"/>
      <c r="H52" s="1"/>
      <c r="I52" s="1"/>
      <c r="J52" s="1"/>
      <c r="K52" s="1"/>
      <c r="L52" s="1"/>
      <c r="M52" s="1"/>
      <c r="N52" s="1"/>
      <c r="O52" s="1"/>
      <c r="P52" s="1"/>
      <c r="Q52" s="1"/>
      <c r="R52" s="1"/>
      <c r="S52" s="1"/>
      <c r="T52" s="1"/>
      <c r="U52" s="1"/>
      <c r="V52" s="1"/>
      <c r="W52" s="1"/>
    </row>
    <row r="53" spans="1:23">
      <c r="A53" s="1"/>
      <c r="B53" s="1"/>
      <c r="C53" s="1"/>
      <c r="D53" s="1"/>
      <c r="E53" s="1"/>
      <c r="F53" s="1"/>
      <c r="G53" s="1"/>
      <c r="H53" s="1"/>
      <c r="I53" s="1"/>
      <c r="J53" s="1"/>
      <c r="K53" s="1"/>
      <c r="L53" s="1"/>
      <c r="M53" s="1"/>
      <c r="N53" s="1"/>
      <c r="O53" s="1"/>
      <c r="P53" s="1"/>
      <c r="Q53" s="1"/>
      <c r="R53" s="1"/>
      <c r="S53" s="1"/>
      <c r="T53" s="1"/>
      <c r="U53" s="1"/>
      <c r="V53" s="1"/>
      <c r="W53" s="1"/>
    </row>
    <row r="54" spans="1:23">
      <c r="A54" s="1"/>
      <c r="B54" s="1"/>
      <c r="C54" s="1"/>
      <c r="D54" s="1"/>
      <c r="E54" s="1"/>
      <c r="F54" s="1"/>
      <c r="G54" s="1"/>
      <c r="H54" s="1"/>
      <c r="I54" s="1"/>
      <c r="J54" s="1"/>
      <c r="K54" s="1"/>
      <c r="L54" s="1"/>
      <c r="M54" s="1"/>
      <c r="N54" s="1"/>
      <c r="O54" s="1"/>
      <c r="P54" s="1"/>
      <c r="Q54" s="1"/>
      <c r="R54" s="1"/>
      <c r="S54" s="1"/>
      <c r="T54" s="1"/>
      <c r="U54" s="1"/>
      <c r="V54" s="1"/>
      <c r="W54" s="1"/>
    </row>
    <row r="55" spans="1:23">
      <c r="A55" s="1"/>
      <c r="B55" s="1"/>
      <c r="C55" s="1"/>
      <c r="D55" s="1"/>
      <c r="E55" s="1"/>
      <c r="F55" s="1"/>
      <c r="G55" s="1"/>
      <c r="H55" s="1"/>
      <c r="I55" s="1"/>
      <c r="J55" s="1"/>
      <c r="K55" s="1"/>
      <c r="L55" s="1"/>
      <c r="M55" s="1"/>
      <c r="N55" s="1"/>
      <c r="O55" s="1"/>
      <c r="P55" s="1"/>
      <c r="Q55" s="1"/>
      <c r="R55" s="1"/>
      <c r="S55" s="1"/>
      <c r="T55" s="1"/>
      <c r="U55" s="1"/>
      <c r="V55" s="1"/>
      <c r="W55" s="1"/>
    </row>
    <row r="56" spans="1:23">
      <c r="A56" s="1"/>
      <c r="B56" s="1"/>
      <c r="C56" s="1"/>
      <c r="D56" s="1"/>
      <c r="E56" s="1"/>
      <c r="F56" s="1"/>
      <c r="G56" s="1"/>
      <c r="H56" s="1"/>
      <c r="I56" s="1"/>
      <c r="J56" s="1"/>
      <c r="K56" s="1"/>
      <c r="L56" s="1"/>
      <c r="M56" s="1"/>
      <c r="N56" s="1"/>
      <c r="O56" s="1"/>
      <c r="P56" s="1"/>
      <c r="Q56" s="1"/>
      <c r="R56" s="1"/>
      <c r="S56" s="1"/>
      <c r="T56" s="1"/>
      <c r="U56" s="1"/>
      <c r="V56" s="1"/>
      <c r="W56" s="1"/>
    </row>
    <row r="57" spans="1:23">
      <c r="A57" s="1"/>
      <c r="B57" s="1"/>
      <c r="C57" s="1"/>
      <c r="D57" s="1"/>
      <c r="E57" s="1"/>
      <c r="F57" s="1"/>
      <c r="G57" s="1"/>
      <c r="H57" s="1"/>
      <c r="I57" s="1"/>
      <c r="J57" s="1"/>
      <c r="K57" s="1"/>
      <c r="L57" s="1"/>
      <c r="M57" s="1"/>
      <c r="N57" s="1"/>
      <c r="O57" s="1"/>
      <c r="P57" s="1"/>
      <c r="Q57" s="1"/>
      <c r="R57" s="1"/>
      <c r="S57" s="1"/>
      <c r="T57" s="1"/>
      <c r="U57" s="1"/>
      <c r="V57" s="1"/>
      <c r="W57" s="1"/>
    </row>
    <row r="58" spans="1:23">
      <c r="A58" s="1"/>
      <c r="B58" s="1"/>
      <c r="C58" s="1"/>
      <c r="D58" s="1"/>
      <c r="E58" s="1"/>
      <c r="F58" s="1"/>
      <c r="G58" s="1"/>
      <c r="H58" s="1"/>
      <c r="I58" s="1"/>
      <c r="J58" s="1"/>
      <c r="K58" s="1"/>
      <c r="L58" s="1"/>
      <c r="M58" s="1"/>
      <c r="N58" s="1"/>
      <c r="O58" s="1"/>
      <c r="P58" s="1"/>
      <c r="Q58" s="1"/>
      <c r="R58" s="1"/>
      <c r="S58" s="1"/>
      <c r="T58" s="1"/>
      <c r="U58" s="1"/>
      <c r="V58" s="1"/>
      <c r="W58" s="1"/>
    </row>
    <row r="59" spans="1:23">
      <c r="A59" s="1"/>
      <c r="B59" s="1"/>
      <c r="C59" s="1"/>
      <c r="D59" s="1"/>
      <c r="E59" s="1"/>
      <c r="F59" s="1"/>
      <c r="G59" s="1"/>
      <c r="H59" s="1"/>
      <c r="I59" s="1"/>
      <c r="J59" s="1"/>
      <c r="K59" s="1"/>
      <c r="L59" s="1"/>
      <c r="M59" s="1"/>
      <c r="N59" s="1"/>
      <c r="O59" s="1"/>
      <c r="P59" s="1"/>
      <c r="Q59" s="1"/>
      <c r="R59" s="1"/>
      <c r="S59" s="1"/>
      <c r="T59" s="1"/>
      <c r="U59" s="1"/>
      <c r="V59" s="1"/>
      <c r="W59" s="1"/>
    </row>
    <row r="60" spans="1:23">
      <c r="A60" s="1"/>
      <c r="B60" s="1"/>
      <c r="C60" s="1"/>
      <c r="D60" s="1"/>
      <c r="E60" s="1"/>
      <c r="F60" s="1"/>
      <c r="G60" s="1"/>
      <c r="H60" s="1"/>
      <c r="I60" s="1"/>
      <c r="J60" s="1"/>
      <c r="K60" s="1"/>
      <c r="L60" s="1"/>
      <c r="M60" s="1"/>
      <c r="N60" s="1"/>
      <c r="O60" s="1"/>
      <c r="P60" s="1"/>
      <c r="Q60" s="1"/>
      <c r="R60" s="1"/>
      <c r="S60" s="1"/>
      <c r="T60" s="1"/>
      <c r="U60" s="1"/>
      <c r="V60" s="1"/>
      <c r="W60" s="1"/>
    </row>
    <row r="61" spans="1:23">
      <c r="A61" s="1"/>
      <c r="B61" s="1"/>
      <c r="C61" s="1"/>
      <c r="D61" s="1"/>
      <c r="E61" s="1"/>
      <c r="F61" s="1"/>
      <c r="G61" s="1"/>
      <c r="H61" s="1"/>
      <c r="I61" s="1"/>
      <c r="J61" s="1"/>
      <c r="K61" s="1"/>
      <c r="L61" s="1"/>
      <c r="M61" s="1"/>
      <c r="N61" s="1"/>
      <c r="O61" s="1"/>
      <c r="P61" s="1"/>
      <c r="Q61" s="1"/>
      <c r="R61" s="1"/>
      <c r="S61" s="1"/>
      <c r="T61" s="1"/>
      <c r="U61" s="1"/>
      <c r="V61" s="1"/>
      <c r="W61" s="1"/>
    </row>
    <row r="62" spans="1:23">
      <c r="A62" s="1"/>
      <c r="B62" s="1"/>
      <c r="C62" s="1"/>
      <c r="D62" s="1"/>
      <c r="E62" s="1"/>
      <c r="F62" s="1"/>
      <c r="G62" s="1"/>
      <c r="H62" s="1"/>
      <c r="I62" s="1"/>
      <c r="J62" s="1"/>
      <c r="K62" s="1"/>
      <c r="L62" s="1"/>
      <c r="M62" s="1"/>
      <c r="N62" s="1"/>
      <c r="O62" s="1"/>
      <c r="P62" s="1"/>
      <c r="Q62" s="1"/>
      <c r="R62" s="1"/>
      <c r="S62" s="1"/>
      <c r="T62" s="1"/>
      <c r="U62" s="1"/>
      <c r="V62" s="1"/>
      <c r="W62" s="1"/>
    </row>
    <row r="63" spans="1:23">
      <c r="A63" s="1"/>
      <c r="B63" s="1"/>
      <c r="C63" s="1"/>
      <c r="D63" s="1"/>
      <c r="E63" s="1"/>
      <c r="F63" s="1"/>
      <c r="G63" s="1"/>
      <c r="H63" s="1"/>
      <c r="I63" s="1"/>
      <c r="J63" s="1"/>
      <c r="K63" s="1"/>
      <c r="L63" s="1"/>
      <c r="M63" s="1"/>
      <c r="N63" s="1"/>
      <c r="O63" s="1"/>
      <c r="P63" s="1"/>
      <c r="Q63" s="1"/>
      <c r="R63" s="1"/>
      <c r="S63" s="1"/>
      <c r="T63" s="1"/>
      <c r="U63" s="1"/>
      <c r="V63" s="1"/>
      <c r="W63" s="1"/>
    </row>
    <row r="64" spans="1:23">
      <c r="A64" s="1"/>
      <c r="B64" s="1"/>
      <c r="C64" s="1"/>
      <c r="D64" s="1"/>
      <c r="E64" s="1"/>
      <c r="F64" s="1"/>
      <c r="G64" s="1"/>
      <c r="H64" s="1"/>
      <c r="I64" s="1"/>
      <c r="J64" s="1"/>
      <c r="K64" s="1"/>
      <c r="L64" s="1"/>
      <c r="M64" s="1"/>
      <c r="N64" s="1"/>
      <c r="O64" s="1"/>
      <c r="P64" s="1"/>
      <c r="Q64" s="1"/>
      <c r="R64" s="1"/>
      <c r="S64" s="1"/>
      <c r="T64" s="1"/>
      <c r="U64" s="1"/>
      <c r="V64" s="1"/>
      <c r="W64" s="1"/>
    </row>
    <row r="65" spans="1:23">
      <c r="A65" s="1"/>
      <c r="B65" s="1"/>
      <c r="C65" s="1"/>
      <c r="D65" s="1"/>
      <c r="E65" s="1"/>
      <c r="F65" s="1"/>
      <c r="G65" s="1"/>
      <c r="H65" s="1"/>
      <c r="I65" s="1"/>
      <c r="J65" s="1"/>
      <c r="K65" s="1"/>
      <c r="L65" s="1"/>
      <c r="M65" s="1"/>
      <c r="N65" s="1"/>
      <c r="O65" s="1"/>
      <c r="P65" s="1"/>
      <c r="Q65" s="1"/>
      <c r="R65" s="1"/>
      <c r="S65" s="1"/>
      <c r="T65" s="1"/>
      <c r="U65" s="1"/>
      <c r="V65" s="1"/>
      <c r="W65" s="1"/>
    </row>
    <row r="66" spans="1:23">
      <c r="A66" s="1"/>
      <c r="B66" s="1"/>
      <c r="C66" s="1"/>
      <c r="D66" s="1"/>
      <c r="E66" s="1"/>
      <c r="F66" s="1"/>
      <c r="G66" s="1"/>
      <c r="H66" s="1"/>
      <c r="I66" s="1"/>
      <c r="J66" s="1"/>
      <c r="K66" s="1"/>
      <c r="L66" s="1"/>
      <c r="M66" s="1"/>
      <c r="N66" s="1"/>
      <c r="O66" s="1"/>
      <c r="P66" s="1"/>
      <c r="Q66" s="1"/>
      <c r="R66" s="1"/>
      <c r="S66" s="1"/>
      <c r="T66" s="1"/>
      <c r="U66" s="1"/>
      <c r="V66" s="1"/>
      <c r="W66" s="1"/>
    </row>
  </sheetData>
  <sheetProtection selectLockedCells="1"/>
  <phoneticPr fontId="23"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orksheet___2"/>
  <dimension ref="A1:Q196"/>
  <sheetViews>
    <sheetView zoomScaleNormal="100" workbookViewId="0">
      <selection activeCell="D142" sqref="D142"/>
    </sheetView>
  </sheetViews>
  <sheetFormatPr baseColWidth="10" defaultColWidth="8.6640625" defaultRowHeight="16.25" customHeight="1"/>
  <cols>
    <col min="1" max="1" width="64.6640625" style="5" customWidth="1"/>
    <col min="2" max="2" width="12.6640625" style="14" customWidth="1"/>
    <col min="3" max="3" width="16.6640625" style="14" customWidth="1"/>
    <col min="4" max="5" width="13.6640625" style="14" customWidth="1"/>
    <col min="6" max="6" width="2.6640625" style="14" customWidth="1"/>
    <col min="7" max="7" width="10.6640625" style="14" customWidth="1"/>
    <col min="8" max="8" width="32.6640625" style="14" customWidth="1"/>
    <col min="9" max="9" width="13.6640625" style="14" customWidth="1"/>
    <col min="10" max="10" width="19.33203125" style="14" customWidth="1"/>
    <col min="11" max="11" width="81.33203125" style="9" customWidth="1"/>
    <col min="12" max="16384" width="8.6640625" style="9"/>
  </cols>
  <sheetData>
    <row r="1" spans="1:11" ht="16.25" customHeight="1">
      <c r="A1" s="2" t="s">
        <v>273</v>
      </c>
    </row>
    <row r="2" spans="1:11" ht="16.25" customHeight="1">
      <c r="A2" s="3"/>
    </row>
    <row r="3" spans="1:11" ht="16.25" customHeight="1">
      <c r="A3" s="4" t="s">
        <v>274</v>
      </c>
      <c r="B3" s="15" t="s">
        <v>1</v>
      </c>
      <c r="C3" s="15" t="s">
        <v>2</v>
      </c>
      <c r="D3" s="15" t="s">
        <v>3</v>
      </c>
      <c r="E3" s="15" t="s">
        <v>4</v>
      </c>
      <c r="F3" s="15"/>
      <c r="G3" s="15"/>
      <c r="H3" s="15" t="s">
        <v>5</v>
      </c>
      <c r="I3" s="15" t="s">
        <v>6</v>
      </c>
      <c r="J3" s="15" t="s">
        <v>559</v>
      </c>
      <c r="K3" s="16" t="s">
        <v>691</v>
      </c>
    </row>
    <row r="4" spans="1:11" ht="16.25" customHeight="1">
      <c r="A4" s="5" t="s">
        <v>8</v>
      </c>
      <c r="B4" s="14" t="s">
        <v>293</v>
      </c>
      <c r="C4" s="14" t="s">
        <v>132</v>
      </c>
      <c r="D4" s="17" t="s">
        <v>533</v>
      </c>
      <c r="I4" s="14" t="s">
        <v>9</v>
      </c>
      <c r="J4" s="14" t="s">
        <v>9</v>
      </c>
    </row>
    <row r="5" spans="1:11" ht="16.25" customHeight="1">
      <c r="A5" s="5" t="s">
        <v>10</v>
      </c>
      <c r="B5" s="14" t="s">
        <v>11</v>
      </c>
      <c r="C5" s="14" t="s">
        <v>132</v>
      </c>
      <c r="D5" s="18">
        <v>5.92</v>
      </c>
      <c r="E5" s="14" t="s">
        <v>9</v>
      </c>
      <c r="H5" s="14" t="s">
        <v>12</v>
      </c>
      <c r="I5" s="14" t="s">
        <v>9</v>
      </c>
      <c r="J5" s="14" t="s">
        <v>9</v>
      </c>
      <c r="K5" s="9" t="s">
        <v>680</v>
      </c>
    </row>
    <row r="6" spans="1:11" ht="16.25" customHeight="1">
      <c r="A6" s="5" t="s">
        <v>289</v>
      </c>
      <c r="B6" s="14" t="s">
        <v>575</v>
      </c>
      <c r="C6" s="14" t="s">
        <v>132</v>
      </c>
      <c r="D6" s="19">
        <v>4.4950000000000003E-4</v>
      </c>
      <c r="E6" s="14" t="s">
        <v>9</v>
      </c>
      <c r="G6" s="19" t="s">
        <v>242</v>
      </c>
      <c r="H6" s="14" t="s">
        <v>290</v>
      </c>
      <c r="I6" s="14" t="s">
        <v>9</v>
      </c>
      <c r="J6" s="14" t="s">
        <v>9</v>
      </c>
      <c r="K6" s="9" t="s">
        <v>681</v>
      </c>
    </row>
    <row r="7" spans="1:11" ht="16.25" customHeight="1">
      <c r="D7" s="18"/>
    </row>
    <row r="8" spans="1:11" ht="16.25" customHeight="1">
      <c r="A8" s="6" t="s">
        <v>693</v>
      </c>
      <c r="C8" s="14" t="s">
        <v>399</v>
      </c>
      <c r="D8" s="20" t="s">
        <v>570</v>
      </c>
      <c r="E8" s="14" t="s">
        <v>9</v>
      </c>
      <c r="I8" s="14" t="s">
        <v>9</v>
      </c>
      <c r="K8" s="9" t="s">
        <v>557</v>
      </c>
    </row>
    <row r="9" spans="1:11" ht="16.25" customHeight="1">
      <c r="A9" s="6"/>
      <c r="D9" s="20"/>
    </row>
    <row r="10" spans="1:11" ht="16.25" customHeight="1">
      <c r="A10" s="7" t="s">
        <v>275</v>
      </c>
      <c r="B10" s="15" t="s">
        <v>1</v>
      </c>
      <c r="C10" s="15" t="s">
        <v>2</v>
      </c>
      <c r="D10" s="15" t="s">
        <v>3</v>
      </c>
      <c r="E10" s="15" t="s">
        <v>4</v>
      </c>
      <c r="F10" s="15"/>
      <c r="G10" s="15"/>
      <c r="H10" s="15" t="s">
        <v>5</v>
      </c>
      <c r="I10" s="15" t="s">
        <v>6</v>
      </c>
      <c r="J10" s="15" t="s">
        <v>559</v>
      </c>
      <c r="K10" s="16" t="s">
        <v>691</v>
      </c>
    </row>
    <row r="11" spans="1:11" ht="16.25" customHeight="1">
      <c r="A11" s="5" t="s">
        <v>28</v>
      </c>
      <c r="B11" s="14" t="s">
        <v>29</v>
      </c>
      <c r="C11" s="14" t="s">
        <v>132</v>
      </c>
      <c r="D11" s="21">
        <v>1.4E-3</v>
      </c>
      <c r="E11" s="22">
        <v>6.9999999999999994E-5</v>
      </c>
      <c r="F11" s="23"/>
      <c r="G11" s="19" t="s">
        <v>242</v>
      </c>
      <c r="H11" s="14" t="s">
        <v>30</v>
      </c>
      <c r="I11" s="24" t="s">
        <v>9</v>
      </c>
      <c r="J11" s="14" t="s">
        <v>9</v>
      </c>
      <c r="K11" s="9" t="s">
        <v>682</v>
      </c>
    </row>
    <row r="12" spans="1:11" ht="16.25" customHeight="1">
      <c r="A12" s="5" t="s">
        <v>32</v>
      </c>
      <c r="B12" s="14" t="s">
        <v>33</v>
      </c>
      <c r="C12" s="14" t="s">
        <v>132</v>
      </c>
      <c r="D12" s="22">
        <v>4.5400000000000003E-2</v>
      </c>
      <c r="E12" s="22">
        <v>8.0000000000000004E-4</v>
      </c>
      <c r="F12" s="23"/>
      <c r="G12" s="25"/>
      <c r="H12" s="14" t="s">
        <v>291</v>
      </c>
      <c r="I12" s="24" t="s">
        <v>9</v>
      </c>
      <c r="J12" s="14" t="s">
        <v>9</v>
      </c>
      <c r="K12" s="9" t="s">
        <v>683</v>
      </c>
    </row>
    <row r="13" spans="1:11" ht="16.25" customHeight="1">
      <c r="A13" s="5" t="s">
        <v>35</v>
      </c>
      <c r="B13" s="14" t="s">
        <v>36</v>
      </c>
      <c r="C13" s="14" t="s">
        <v>132</v>
      </c>
      <c r="D13" s="21">
        <v>0.03</v>
      </c>
      <c r="E13" s="26">
        <v>0</v>
      </c>
      <c r="F13" s="23"/>
      <c r="G13" s="27"/>
      <c r="H13" s="14" t="s">
        <v>393</v>
      </c>
      <c r="I13" s="24">
        <v>1.4999999999999999E-2</v>
      </c>
      <c r="J13" s="14" t="s">
        <v>9</v>
      </c>
      <c r="K13" s="5" t="s">
        <v>684</v>
      </c>
    </row>
    <row r="14" spans="1:11" ht="16.25" customHeight="1">
      <c r="A14" s="8" t="s">
        <v>534</v>
      </c>
      <c r="B14" s="28" t="s">
        <v>532</v>
      </c>
      <c r="C14" s="14" t="s">
        <v>132</v>
      </c>
      <c r="D14" s="21">
        <v>10</v>
      </c>
      <c r="E14" s="29" t="s">
        <v>315</v>
      </c>
      <c r="F14" s="29"/>
      <c r="G14" s="29"/>
      <c r="H14" s="14" t="s">
        <v>215</v>
      </c>
      <c r="I14" s="24" t="s">
        <v>254</v>
      </c>
      <c r="J14" s="14" t="s">
        <v>9</v>
      </c>
      <c r="K14" s="9" t="s">
        <v>685</v>
      </c>
    </row>
    <row r="15" spans="1:11" ht="16.25" customHeight="1">
      <c r="A15" s="5" t="s">
        <v>252</v>
      </c>
      <c r="B15" s="14" t="s">
        <v>247</v>
      </c>
      <c r="C15" s="14" t="s">
        <v>132</v>
      </c>
      <c r="D15" s="21">
        <v>3.3000000000000002E-2</v>
      </c>
      <c r="E15" s="29" t="s">
        <v>316</v>
      </c>
      <c r="F15" s="29"/>
      <c r="G15" s="29"/>
      <c r="H15" s="14" t="s">
        <v>394</v>
      </c>
      <c r="I15" s="24">
        <v>0.05</v>
      </c>
      <c r="J15" s="14" t="s">
        <v>9</v>
      </c>
      <c r="K15" s="9" t="s">
        <v>686</v>
      </c>
    </row>
    <row r="16" spans="1:11" s="30" customFormat="1" ht="16.25" customHeight="1">
      <c r="A16" s="5" t="s">
        <v>694</v>
      </c>
      <c r="B16" s="14" t="s">
        <v>38</v>
      </c>
      <c r="C16" s="14" t="s">
        <v>132</v>
      </c>
      <c r="D16" s="21">
        <v>0.09</v>
      </c>
      <c r="E16" s="29" t="s">
        <v>316</v>
      </c>
      <c r="F16" s="29"/>
      <c r="G16" s="29"/>
      <c r="H16" s="14" t="s">
        <v>395</v>
      </c>
      <c r="I16" s="24">
        <v>0.09</v>
      </c>
      <c r="J16" s="14" t="s">
        <v>9</v>
      </c>
      <c r="K16" s="9" t="s">
        <v>687</v>
      </c>
    </row>
    <row r="17" spans="1:17" ht="16.25" customHeight="1">
      <c r="A17" s="5" t="s">
        <v>40</v>
      </c>
      <c r="B17" s="14" t="s">
        <v>41</v>
      </c>
      <c r="C17" s="14" t="s">
        <v>132</v>
      </c>
      <c r="D17" s="21">
        <v>0.156</v>
      </c>
      <c r="E17" s="29" t="s">
        <v>316</v>
      </c>
      <c r="F17" s="29"/>
      <c r="G17" s="29"/>
      <c r="H17" s="14" t="s">
        <v>42</v>
      </c>
      <c r="I17" s="24">
        <v>0.15</v>
      </c>
      <c r="J17" s="14" t="s">
        <v>9</v>
      </c>
      <c r="K17" s="9" t="s">
        <v>688</v>
      </c>
    </row>
    <row r="18" spans="1:17" ht="16.25" customHeight="1">
      <c r="A18" s="5" t="s">
        <v>43</v>
      </c>
      <c r="B18" s="14" t="s">
        <v>44</v>
      </c>
      <c r="C18" s="14" t="s">
        <v>132</v>
      </c>
      <c r="D18" s="21">
        <v>0.55000000000000004</v>
      </c>
      <c r="E18" s="29" t="s">
        <v>316</v>
      </c>
      <c r="F18" s="29"/>
      <c r="G18" s="29"/>
      <c r="H18" s="14" t="s">
        <v>45</v>
      </c>
      <c r="I18" s="24">
        <v>0.55000000000000004</v>
      </c>
      <c r="J18" s="14" t="s">
        <v>9</v>
      </c>
      <c r="K18" s="9" t="s">
        <v>685</v>
      </c>
    </row>
    <row r="19" spans="1:17" s="30" customFormat="1" ht="16.25" customHeight="1">
      <c r="A19" s="5" t="s">
        <v>47</v>
      </c>
      <c r="B19" s="14" t="s">
        <v>48</v>
      </c>
      <c r="C19" s="14" t="s">
        <v>132</v>
      </c>
      <c r="D19" s="21">
        <v>0.12</v>
      </c>
      <c r="E19" s="29" t="s">
        <v>316</v>
      </c>
      <c r="F19" s="29"/>
      <c r="G19" s="29"/>
      <c r="H19" s="14" t="s">
        <v>102</v>
      </c>
      <c r="I19" s="24">
        <v>0.1</v>
      </c>
      <c r="J19" s="14" t="s">
        <v>9</v>
      </c>
      <c r="K19" s="9" t="s">
        <v>689</v>
      </c>
    </row>
    <row r="20" spans="1:17" ht="16.25" customHeight="1">
      <c r="A20" s="5" t="s">
        <v>49</v>
      </c>
      <c r="B20" s="14" t="s">
        <v>50</v>
      </c>
      <c r="C20" s="14" t="s">
        <v>132</v>
      </c>
      <c r="D20" s="21">
        <v>14.6</v>
      </c>
      <c r="E20" s="29" t="s">
        <v>316</v>
      </c>
      <c r="F20" s="29"/>
      <c r="G20" s="29"/>
      <c r="H20" s="14" t="s">
        <v>51</v>
      </c>
      <c r="I20" s="24" t="s">
        <v>9</v>
      </c>
      <c r="J20" s="14" t="s">
        <v>9</v>
      </c>
      <c r="K20" s="9" t="s">
        <v>689</v>
      </c>
    </row>
    <row r="21" spans="1:17" s="35" customFormat="1" ht="16.25" customHeight="1">
      <c r="A21" s="5" t="s">
        <v>53</v>
      </c>
      <c r="B21" s="14" t="s">
        <v>335</v>
      </c>
      <c r="C21" s="14" t="s">
        <v>132</v>
      </c>
      <c r="D21" s="31">
        <v>8.5</v>
      </c>
      <c r="E21" s="32">
        <v>7.0000000000000007E-2</v>
      </c>
      <c r="F21" s="33"/>
      <c r="G21" s="33"/>
      <c r="H21" s="14" t="s">
        <v>336</v>
      </c>
      <c r="I21" s="34">
        <f>(-0.24*D20+14.04)*0.9</f>
        <v>9.4824000000000002</v>
      </c>
      <c r="J21" s="14" t="s">
        <v>9</v>
      </c>
      <c r="K21" s="9" t="s">
        <v>337</v>
      </c>
    </row>
    <row r="22" spans="1:17" s="35" customFormat="1" ht="16.25" customHeight="1">
      <c r="A22" s="5" t="s">
        <v>52</v>
      </c>
      <c r="B22" s="14" t="s">
        <v>164</v>
      </c>
      <c r="C22" s="14" t="s">
        <v>132</v>
      </c>
      <c r="D22" s="21" t="s">
        <v>9</v>
      </c>
      <c r="E22" s="29" t="s">
        <v>316</v>
      </c>
      <c r="F22" s="29"/>
      <c r="G22" s="29"/>
      <c r="H22" s="14" t="s">
        <v>12</v>
      </c>
      <c r="I22" s="24">
        <v>0.5</v>
      </c>
      <c r="J22" s="14" t="s">
        <v>9</v>
      </c>
      <c r="K22" s="9" t="s">
        <v>165</v>
      </c>
    </row>
    <row r="23" spans="1:17" s="35" customFormat="1" ht="16.25" customHeight="1">
      <c r="A23" s="8" t="s">
        <v>23</v>
      </c>
      <c r="B23" s="28" t="s">
        <v>24</v>
      </c>
      <c r="C23" s="28" t="s">
        <v>132</v>
      </c>
      <c r="D23" s="36">
        <v>3.8340058375087749E-2</v>
      </c>
      <c r="E23" s="36">
        <v>2.566480633910248E-3</v>
      </c>
      <c r="F23" s="37"/>
      <c r="G23" s="38"/>
      <c r="H23" s="28" t="s">
        <v>22</v>
      </c>
      <c r="I23" s="39" t="s">
        <v>9</v>
      </c>
      <c r="J23" s="14" t="s">
        <v>9</v>
      </c>
      <c r="K23" s="40" t="s">
        <v>690</v>
      </c>
      <c r="L23" s="40"/>
      <c r="M23" s="40"/>
      <c r="N23" s="40"/>
      <c r="O23" s="40"/>
      <c r="P23" s="40"/>
      <c r="Q23" s="40"/>
    </row>
    <row r="25" spans="1:17" ht="16.25" customHeight="1">
      <c r="A25" s="7" t="s">
        <v>276</v>
      </c>
      <c r="B25" s="15" t="s">
        <v>1</v>
      </c>
      <c r="C25" s="15" t="s">
        <v>2</v>
      </c>
      <c r="D25" s="41" t="s">
        <v>277</v>
      </c>
      <c r="E25" s="42" t="s">
        <v>312</v>
      </c>
      <c r="F25" s="42"/>
      <c r="H25" s="43" t="s">
        <v>279</v>
      </c>
      <c r="K25" s="16" t="s">
        <v>294</v>
      </c>
    </row>
    <row r="26" spans="1:17" ht="16.25" customHeight="1">
      <c r="A26" s="9" t="s">
        <v>278</v>
      </c>
      <c r="B26" s="14" t="s">
        <v>313</v>
      </c>
      <c r="C26" s="14" t="s">
        <v>132</v>
      </c>
      <c r="D26" s="44">
        <v>0</v>
      </c>
      <c r="E26" s="45">
        <v>5.9999999999999995E-4</v>
      </c>
      <c r="F26" s="19"/>
      <c r="G26" s="9"/>
      <c r="H26" s="85">
        <f t="shared" ref="H26:H45" si="0">IF(D26="","",LN(E26))</f>
        <v>-7.4185809027481282</v>
      </c>
      <c r="I26" s="9"/>
      <c r="J26" s="9"/>
      <c r="K26" s="47" t="s">
        <v>242</v>
      </c>
      <c r="L26" s="40"/>
      <c r="M26" s="40"/>
      <c r="N26" s="40"/>
      <c r="O26" s="40"/>
      <c r="P26" s="40"/>
    </row>
    <row r="27" spans="1:17" ht="16.25" customHeight="1">
      <c r="A27" s="9" t="s">
        <v>278</v>
      </c>
      <c r="B27" s="14" t="s">
        <v>313</v>
      </c>
      <c r="C27" s="14" t="s">
        <v>132</v>
      </c>
      <c r="D27" s="48">
        <v>0</v>
      </c>
      <c r="E27" s="49">
        <v>1.2999999999999999E-3</v>
      </c>
      <c r="F27" s="19"/>
      <c r="G27" s="9"/>
      <c r="H27" s="85">
        <f t="shared" si="0"/>
        <v>-6.6453910145146464</v>
      </c>
      <c r="I27" s="9"/>
      <c r="J27" s="9"/>
      <c r="L27" s="40"/>
      <c r="M27" s="40"/>
      <c r="N27" s="40"/>
      <c r="O27" s="40"/>
      <c r="P27" s="40"/>
    </row>
    <row r="28" spans="1:17" ht="16.25" customHeight="1">
      <c r="A28" s="9" t="s">
        <v>278</v>
      </c>
      <c r="B28" s="14" t="s">
        <v>313</v>
      </c>
      <c r="C28" s="14" t="s">
        <v>132</v>
      </c>
      <c r="D28" s="48">
        <v>0</v>
      </c>
      <c r="E28" s="49">
        <v>1.2999999999999999E-3</v>
      </c>
      <c r="F28" s="19"/>
      <c r="G28" s="9"/>
      <c r="H28" s="85">
        <f t="shared" si="0"/>
        <v>-6.6453910145146464</v>
      </c>
      <c r="I28" s="9"/>
      <c r="J28" s="9"/>
      <c r="L28" s="40"/>
      <c r="M28" s="40"/>
      <c r="N28" s="40"/>
      <c r="O28" s="40"/>
      <c r="P28" s="40"/>
    </row>
    <row r="29" spans="1:17" ht="16.25" customHeight="1">
      <c r="A29" s="9" t="s">
        <v>278</v>
      </c>
      <c r="B29" s="14" t="s">
        <v>313</v>
      </c>
      <c r="C29" s="14" t="s">
        <v>132</v>
      </c>
      <c r="D29" s="48">
        <v>0</v>
      </c>
      <c r="E29" s="49">
        <v>9.6999999999999994E-4</v>
      </c>
      <c r="F29" s="19"/>
      <c r="G29" s="9"/>
      <c r="H29" s="85">
        <f t="shared" si="0"/>
        <v>-6.9382144864668458</v>
      </c>
      <c r="I29" s="9"/>
      <c r="J29" s="9"/>
      <c r="L29" s="40"/>
      <c r="M29" s="40"/>
      <c r="N29" s="40"/>
      <c r="O29" s="40"/>
      <c r="P29" s="40"/>
    </row>
    <row r="30" spans="1:17" ht="16.25" customHeight="1">
      <c r="A30" s="9" t="s">
        <v>278</v>
      </c>
      <c r="B30" s="14" t="s">
        <v>313</v>
      </c>
      <c r="C30" s="14" t="s">
        <v>132</v>
      </c>
      <c r="D30" s="48">
        <v>0</v>
      </c>
      <c r="E30" s="49">
        <v>9.3999999999999997E-4</v>
      </c>
      <c r="F30" s="19"/>
      <c r="G30" s="9"/>
      <c r="H30" s="85">
        <f t="shared" si="0"/>
        <v>-6.9696306827002248</v>
      </c>
      <c r="I30" s="9"/>
      <c r="J30" s="9"/>
      <c r="K30" s="40"/>
      <c r="L30" s="40"/>
      <c r="M30" s="40"/>
      <c r="N30" s="40"/>
      <c r="O30" s="40"/>
      <c r="P30" s="40"/>
    </row>
    <row r="31" spans="1:17" ht="16.25" customHeight="1">
      <c r="A31" s="9" t="s">
        <v>278</v>
      </c>
      <c r="B31" s="14" t="s">
        <v>313</v>
      </c>
      <c r="C31" s="14" t="s">
        <v>132</v>
      </c>
      <c r="D31" s="48">
        <v>1</v>
      </c>
      <c r="E31" s="49">
        <v>8.0000000000000004E-4</v>
      </c>
      <c r="F31" s="19"/>
      <c r="G31" s="9"/>
      <c r="H31" s="85">
        <f t="shared" si="0"/>
        <v>-7.1308988302963465</v>
      </c>
      <c r="I31" s="9"/>
      <c r="J31" s="9"/>
      <c r="K31" s="40"/>
      <c r="L31" s="40"/>
      <c r="M31" s="40"/>
      <c r="N31" s="40"/>
      <c r="O31" s="40"/>
      <c r="P31" s="40"/>
    </row>
    <row r="32" spans="1:17" ht="16.25" customHeight="1">
      <c r="A32" s="9" t="s">
        <v>278</v>
      </c>
      <c r="B32" s="14" t="s">
        <v>313</v>
      </c>
      <c r="C32" s="14" t="s">
        <v>132</v>
      </c>
      <c r="D32" s="48">
        <v>1</v>
      </c>
      <c r="E32" s="49">
        <v>9.3999999999999997E-4</v>
      </c>
      <c r="F32" s="19"/>
      <c r="G32" s="9"/>
      <c r="H32" s="85">
        <f t="shared" si="0"/>
        <v>-6.9696306827002248</v>
      </c>
      <c r="I32" s="9"/>
      <c r="J32" s="9"/>
      <c r="K32" s="40"/>
      <c r="L32" s="40"/>
      <c r="M32" s="40"/>
      <c r="N32" s="40"/>
      <c r="O32" s="40"/>
      <c r="P32" s="40"/>
    </row>
    <row r="33" spans="1:17" ht="16.25" customHeight="1">
      <c r="A33" s="9" t="s">
        <v>278</v>
      </c>
      <c r="B33" s="14" t="s">
        <v>313</v>
      </c>
      <c r="C33" s="14" t="s">
        <v>132</v>
      </c>
      <c r="D33" s="48">
        <v>1</v>
      </c>
      <c r="E33" s="49">
        <v>1.9E-3</v>
      </c>
      <c r="F33" s="19"/>
      <c r="G33" s="9"/>
      <c r="H33" s="85">
        <f t="shared" si="0"/>
        <v>-6.2659013928097425</v>
      </c>
      <c r="I33" s="9"/>
      <c r="J33" s="9"/>
      <c r="K33" s="40"/>
      <c r="L33" s="40"/>
      <c r="M33" s="40"/>
      <c r="N33" s="40"/>
      <c r="O33" s="40"/>
      <c r="P33" s="40"/>
    </row>
    <row r="34" spans="1:17" ht="16.25" customHeight="1">
      <c r="A34" s="9" t="s">
        <v>278</v>
      </c>
      <c r="B34" s="14" t="s">
        <v>313</v>
      </c>
      <c r="C34" s="14" t="s">
        <v>132</v>
      </c>
      <c r="D34" s="48">
        <v>1</v>
      </c>
      <c r="E34" s="49">
        <v>1.1000000000000001E-3</v>
      </c>
      <c r="F34" s="19"/>
      <c r="G34" s="9"/>
      <c r="H34" s="85">
        <f t="shared" si="0"/>
        <v>-6.812445099177812</v>
      </c>
      <c r="I34" s="9"/>
      <c r="J34" s="9"/>
      <c r="K34" s="40"/>
      <c r="L34" s="40"/>
      <c r="M34" s="40"/>
      <c r="N34" s="40"/>
      <c r="O34" s="40"/>
      <c r="P34" s="40"/>
    </row>
    <row r="35" spans="1:17" ht="16.25" customHeight="1">
      <c r="A35" s="9" t="s">
        <v>278</v>
      </c>
      <c r="B35" s="14" t="s">
        <v>313</v>
      </c>
      <c r="C35" s="14" t="s">
        <v>132</v>
      </c>
      <c r="D35" s="48">
        <v>1</v>
      </c>
      <c r="E35" s="49">
        <v>1E-3</v>
      </c>
      <c r="F35" s="19"/>
      <c r="G35" s="9"/>
      <c r="H35" s="85">
        <f t="shared" si="0"/>
        <v>-6.9077552789821368</v>
      </c>
      <c r="I35" s="9"/>
      <c r="J35" s="9"/>
      <c r="K35" s="40"/>
      <c r="L35" s="40"/>
      <c r="M35" s="40"/>
      <c r="N35" s="40"/>
      <c r="O35" s="40"/>
      <c r="P35" s="40"/>
    </row>
    <row r="36" spans="1:17" ht="16.25" customHeight="1">
      <c r="A36" s="9" t="s">
        <v>278</v>
      </c>
      <c r="B36" s="14" t="s">
        <v>313</v>
      </c>
      <c r="C36" s="14" t="s">
        <v>132</v>
      </c>
      <c r="D36" s="48">
        <v>3</v>
      </c>
      <c r="E36" s="49">
        <v>5.1000000000000004E-4</v>
      </c>
      <c r="F36" s="19"/>
      <c r="G36" s="9"/>
      <c r="H36" s="85">
        <f t="shared" si="0"/>
        <v>-7.5810998322459024</v>
      </c>
      <c r="I36" s="9"/>
      <c r="J36" s="9"/>
      <c r="K36" s="40"/>
      <c r="L36" s="40"/>
      <c r="M36" s="40"/>
      <c r="N36" s="40"/>
      <c r="O36" s="40"/>
      <c r="P36" s="40"/>
    </row>
    <row r="37" spans="1:17" ht="16.25" customHeight="1">
      <c r="A37" s="9" t="s">
        <v>278</v>
      </c>
      <c r="B37" s="14" t="s">
        <v>313</v>
      </c>
      <c r="C37" s="14" t="s">
        <v>132</v>
      </c>
      <c r="D37" s="48">
        <v>3</v>
      </c>
      <c r="E37" s="49">
        <v>6.6E-4</v>
      </c>
      <c r="F37" s="19"/>
      <c r="G37" s="9"/>
      <c r="H37" s="85">
        <f t="shared" si="0"/>
        <v>-7.3232707229438025</v>
      </c>
      <c r="I37" s="9"/>
      <c r="J37" s="9"/>
      <c r="K37" s="40"/>
      <c r="L37" s="40"/>
      <c r="M37" s="40"/>
      <c r="N37" s="40"/>
      <c r="O37" s="40"/>
      <c r="P37" s="40"/>
    </row>
    <row r="38" spans="1:17" ht="16.25" customHeight="1">
      <c r="A38" s="9" t="s">
        <v>278</v>
      </c>
      <c r="B38" s="14" t="s">
        <v>313</v>
      </c>
      <c r="C38" s="14" t="s">
        <v>132</v>
      </c>
      <c r="D38" s="48">
        <v>3</v>
      </c>
      <c r="E38" s="49">
        <v>2.3999999999999998E-4</v>
      </c>
      <c r="F38" s="19"/>
      <c r="G38" s="9"/>
      <c r="H38" s="85">
        <f t="shared" si="0"/>
        <v>-8.3348716346222833</v>
      </c>
      <c r="I38" s="9"/>
      <c r="J38" s="9"/>
      <c r="K38" s="40"/>
      <c r="L38" s="40"/>
      <c r="M38" s="40"/>
      <c r="N38" s="40"/>
      <c r="O38" s="40"/>
      <c r="P38" s="40"/>
    </row>
    <row r="39" spans="1:17" ht="16.25" customHeight="1">
      <c r="A39" s="9" t="s">
        <v>278</v>
      </c>
      <c r="B39" s="14" t="s">
        <v>313</v>
      </c>
      <c r="C39" s="14" t="s">
        <v>132</v>
      </c>
      <c r="D39" s="48">
        <v>3</v>
      </c>
      <c r="E39" s="49">
        <v>2.3000000000000001E-4</v>
      </c>
      <c r="F39" s="19"/>
      <c r="G39" s="9"/>
      <c r="H39" s="85">
        <f t="shared" si="0"/>
        <v>-8.3774312490410789</v>
      </c>
      <c r="I39" s="9"/>
      <c r="J39" s="9"/>
      <c r="K39" s="40"/>
      <c r="L39" s="40"/>
      <c r="M39" s="40"/>
      <c r="N39" s="40"/>
      <c r="O39" s="40"/>
      <c r="P39" s="40"/>
    </row>
    <row r="40" spans="1:17" ht="16.25" customHeight="1">
      <c r="A40" s="9" t="s">
        <v>278</v>
      </c>
      <c r="B40" s="14" t="s">
        <v>313</v>
      </c>
      <c r="C40" s="14" t="s">
        <v>132</v>
      </c>
      <c r="D40" s="48">
        <v>3</v>
      </c>
      <c r="E40" s="49">
        <v>2.0000000000000001E-4</v>
      </c>
      <c r="F40" s="19"/>
      <c r="G40" s="9"/>
      <c r="H40" s="85">
        <f t="shared" si="0"/>
        <v>-8.5171931914162382</v>
      </c>
      <c r="I40" s="9"/>
      <c r="J40" s="9"/>
      <c r="K40" s="40"/>
      <c r="L40" s="40"/>
      <c r="M40" s="40"/>
      <c r="N40" s="40"/>
      <c r="O40" s="40"/>
      <c r="P40" s="40"/>
    </row>
    <row r="41" spans="1:17" ht="16.25" customHeight="1">
      <c r="A41" s="9" t="s">
        <v>278</v>
      </c>
      <c r="B41" s="14" t="s">
        <v>313</v>
      </c>
      <c r="C41" s="14" t="s">
        <v>132</v>
      </c>
      <c r="D41" s="48">
        <v>7</v>
      </c>
      <c r="E41" s="49">
        <v>1.6000000000000001E-4</v>
      </c>
      <c r="F41" s="19"/>
      <c r="G41" s="9"/>
      <c r="H41" s="85">
        <f t="shared" si="0"/>
        <v>-8.740336742730447</v>
      </c>
      <c r="I41" s="9"/>
      <c r="J41" s="9"/>
      <c r="K41" s="40"/>
      <c r="L41" s="40"/>
      <c r="M41" s="50"/>
      <c r="N41" s="50"/>
      <c r="O41" s="50"/>
      <c r="P41" s="51"/>
      <c r="Q41" s="51"/>
    </row>
    <row r="42" spans="1:17" ht="16.25" customHeight="1">
      <c r="A42" s="9" t="s">
        <v>278</v>
      </c>
      <c r="B42" s="14" t="s">
        <v>313</v>
      </c>
      <c r="C42" s="14" t="s">
        <v>132</v>
      </c>
      <c r="D42" s="48">
        <v>7</v>
      </c>
      <c r="E42" s="49">
        <v>1.9000000000000001E-4</v>
      </c>
      <c r="F42" s="19"/>
      <c r="G42" s="9"/>
      <c r="H42" s="85">
        <f t="shared" si="0"/>
        <v>-8.5684864858037884</v>
      </c>
      <c r="I42" s="9"/>
      <c r="J42" s="9"/>
      <c r="K42" s="40"/>
      <c r="L42" s="40"/>
      <c r="M42" s="40"/>
      <c r="N42" s="28"/>
      <c r="O42" s="52"/>
      <c r="P42" s="52"/>
      <c r="Q42" s="28"/>
    </row>
    <row r="43" spans="1:17" ht="16.25" customHeight="1">
      <c r="A43" s="9" t="s">
        <v>278</v>
      </c>
      <c r="B43" s="14" t="s">
        <v>313</v>
      </c>
      <c r="C43" s="14" t="s">
        <v>132</v>
      </c>
      <c r="D43" s="48">
        <v>7</v>
      </c>
      <c r="E43" s="49">
        <v>1.4999999999999999E-4</v>
      </c>
      <c r="F43" s="19"/>
      <c r="G43" s="9"/>
      <c r="H43" s="85">
        <f t="shared" si="0"/>
        <v>-8.8048752638680181</v>
      </c>
      <c r="I43" s="9"/>
      <c r="J43" s="9"/>
      <c r="K43" s="40"/>
      <c r="L43" s="40"/>
      <c r="M43" s="40"/>
      <c r="N43" s="28"/>
      <c r="O43" s="52"/>
      <c r="P43" s="52"/>
      <c r="Q43" s="28"/>
    </row>
    <row r="44" spans="1:17" ht="16.25" customHeight="1">
      <c r="A44" s="9" t="s">
        <v>278</v>
      </c>
      <c r="B44" s="14" t="s">
        <v>313</v>
      </c>
      <c r="C44" s="14" t="s">
        <v>132</v>
      </c>
      <c r="D44" s="48">
        <v>7</v>
      </c>
      <c r="E44" s="49">
        <v>1E-4</v>
      </c>
      <c r="F44" s="19"/>
      <c r="G44" s="9"/>
      <c r="H44" s="85">
        <f t="shared" si="0"/>
        <v>-9.2103403719761818</v>
      </c>
      <c r="I44" s="9"/>
      <c r="J44" s="9"/>
      <c r="K44" s="40"/>
      <c r="L44" s="40"/>
      <c r="M44" s="40"/>
      <c r="N44" s="28"/>
      <c r="O44" s="52"/>
      <c r="Q44" s="40"/>
    </row>
    <row r="45" spans="1:17" ht="16.25" customHeight="1">
      <c r="A45" s="9" t="s">
        <v>278</v>
      </c>
      <c r="B45" s="14" t="s">
        <v>313</v>
      </c>
      <c r="C45" s="14" t="s">
        <v>132</v>
      </c>
      <c r="D45" s="48">
        <v>7</v>
      </c>
      <c r="E45" s="49">
        <v>7.7999999999999999E-5</v>
      </c>
      <c r="F45" s="19"/>
      <c r="G45" s="9"/>
      <c r="H45" s="85">
        <f t="shared" si="0"/>
        <v>-9.4588017312746828</v>
      </c>
      <c r="I45" s="9"/>
      <c r="J45" s="9"/>
      <c r="K45" s="40"/>
      <c r="L45" s="40"/>
      <c r="M45" s="40"/>
      <c r="N45" s="28"/>
      <c r="O45" s="53"/>
      <c r="Q45" s="40"/>
    </row>
    <row r="46" spans="1:17" ht="16.25" customHeight="1">
      <c r="A46" s="9" t="s">
        <v>278</v>
      </c>
      <c r="B46" s="14" t="s">
        <v>313</v>
      </c>
      <c r="C46" s="14" t="s">
        <v>132</v>
      </c>
      <c r="D46" s="48">
        <v>14</v>
      </c>
      <c r="E46" s="49">
        <v>3.5999999999999994E-5</v>
      </c>
      <c r="F46" s="19"/>
      <c r="G46" s="9"/>
      <c r="H46" s="85">
        <f t="shared" ref="H46:H95" si="1">IF(D46="","",LN(E46))</f>
        <v>-10.231991619508165</v>
      </c>
      <c r="I46" s="9"/>
      <c r="J46" s="9"/>
      <c r="K46" s="40"/>
      <c r="L46" s="40"/>
      <c r="M46" s="40"/>
      <c r="N46" s="28"/>
      <c r="O46" s="53"/>
      <c r="Q46" s="40"/>
    </row>
    <row r="47" spans="1:17" ht="16.25" customHeight="1">
      <c r="A47" s="9" t="s">
        <v>278</v>
      </c>
      <c r="B47" s="14" t="s">
        <v>313</v>
      </c>
      <c r="C47" s="14" t="s">
        <v>132</v>
      </c>
      <c r="D47" s="48">
        <v>14</v>
      </c>
      <c r="E47" s="49">
        <v>2.5999999999999998E-5</v>
      </c>
      <c r="F47" s="19"/>
      <c r="G47" s="9"/>
      <c r="H47" s="85">
        <f t="shared" si="1"/>
        <v>-10.557414019942792</v>
      </c>
      <c r="I47" s="9"/>
      <c r="J47" s="9"/>
      <c r="K47" s="40"/>
      <c r="L47" s="40"/>
      <c r="M47" s="40"/>
      <c r="N47" s="28"/>
      <c r="O47" s="53"/>
      <c r="Q47" s="40"/>
    </row>
    <row r="48" spans="1:17" ht="16.25" customHeight="1">
      <c r="A48" s="9" t="s">
        <v>278</v>
      </c>
      <c r="B48" s="14" t="s">
        <v>313</v>
      </c>
      <c r="C48" s="14" t="s">
        <v>132</v>
      </c>
      <c r="D48" s="48">
        <v>14</v>
      </c>
      <c r="E48" s="49">
        <v>2.5999999999999998E-5</v>
      </c>
      <c r="F48" s="19"/>
      <c r="G48" s="9"/>
      <c r="H48" s="85">
        <f t="shared" si="1"/>
        <v>-10.557414019942792</v>
      </c>
      <c r="I48" s="9"/>
      <c r="J48" s="9"/>
      <c r="K48" s="40"/>
      <c r="L48" s="40"/>
      <c r="M48" s="40"/>
      <c r="N48" s="28"/>
      <c r="O48" s="53"/>
      <c r="Q48" s="40"/>
    </row>
    <row r="49" spans="1:17" ht="16.25" customHeight="1">
      <c r="A49" s="9" t="s">
        <v>278</v>
      </c>
      <c r="B49" s="14" t="s">
        <v>313</v>
      </c>
      <c r="C49" s="14" t="s">
        <v>132</v>
      </c>
      <c r="D49" s="48">
        <v>14</v>
      </c>
      <c r="E49" s="49">
        <v>5.1999999999999997E-5</v>
      </c>
      <c r="F49" s="19"/>
      <c r="G49" s="9"/>
      <c r="H49" s="85">
        <f t="shared" si="1"/>
        <v>-9.8642668393828465</v>
      </c>
      <c r="I49" s="9"/>
      <c r="J49" s="9"/>
      <c r="K49" s="40"/>
      <c r="L49" s="40"/>
      <c r="M49" s="40"/>
      <c r="N49" s="28"/>
      <c r="O49" s="53"/>
      <c r="Q49" s="40"/>
    </row>
    <row r="50" spans="1:17" ht="16.25" customHeight="1">
      <c r="A50" s="9" t="s">
        <v>278</v>
      </c>
      <c r="B50" s="14" t="s">
        <v>313</v>
      </c>
      <c r="C50" s="14" t="s">
        <v>132</v>
      </c>
      <c r="D50" s="48">
        <v>14</v>
      </c>
      <c r="E50" s="49">
        <v>5.7000000000000003E-5</v>
      </c>
      <c r="F50" s="19"/>
      <c r="G50" s="9"/>
      <c r="H50" s="85">
        <f t="shared" si="1"/>
        <v>-9.7724592901297243</v>
      </c>
      <c r="I50" s="9"/>
      <c r="J50" s="9"/>
      <c r="K50" s="40"/>
      <c r="L50" s="40"/>
      <c r="M50" s="40"/>
      <c r="N50" s="28"/>
      <c r="O50" s="53"/>
      <c r="Q50" s="40"/>
    </row>
    <row r="51" spans="1:17" ht="16.25" customHeight="1">
      <c r="A51" s="9" t="s">
        <v>278</v>
      </c>
      <c r="B51" s="14" t="s">
        <v>313</v>
      </c>
      <c r="C51" s="14" t="s">
        <v>132</v>
      </c>
      <c r="D51" s="48"/>
      <c r="E51" s="49"/>
      <c r="F51" s="19"/>
      <c r="G51" s="9"/>
      <c r="H51" s="85" t="str">
        <f t="shared" si="1"/>
        <v/>
      </c>
      <c r="I51" s="9"/>
      <c r="J51" s="9"/>
      <c r="K51" s="40"/>
      <c r="L51" s="40"/>
      <c r="M51" s="40"/>
      <c r="N51" s="28"/>
      <c r="O51" s="53"/>
      <c r="Q51" s="40"/>
    </row>
    <row r="52" spans="1:17" ht="16.25" customHeight="1">
      <c r="A52" s="9" t="s">
        <v>278</v>
      </c>
      <c r="B52" s="14" t="s">
        <v>313</v>
      </c>
      <c r="C52" s="14" t="s">
        <v>132</v>
      </c>
      <c r="D52" s="48"/>
      <c r="E52" s="49"/>
      <c r="F52" s="19"/>
      <c r="G52" s="9"/>
      <c r="H52" s="85" t="str">
        <f t="shared" si="1"/>
        <v/>
      </c>
      <c r="I52" s="9"/>
      <c r="J52" s="9"/>
      <c r="K52" s="40"/>
      <c r="L52" s="40"/>
      <c r="M52" s="40"/>
      <c r="N52" s="28"/>
      <c r="O52" s="53"/>
      <c r="Q52" s="40"/>
    </row>
    <row r="53" spans="1:17" ht="16.25" customHeight="1">
      <c r="A53" s="9" t="s">
        <v>278</v>
      </c>
      <c r="B53" s="14" t="s">
        <v>313</v>
      </c>
      <c r="C53" s="14" t="s">
        <v>132</v>
      </c>
      <c r="D53" s="48"/>
      <c r="E53" s="49"/>
      <c r="F53" s="19"/>
      <c r="G53" s="9"/>
      <c r="H53" s="85" t="str">
        <f t="shared" si="1"/>
        <v/>
      </c>
      <c r="I53" s="9"/>
      <c r="J53" s="9"/>
      <c r="K53" s="40"/>
      <c r="L53" s="40"/>
      <c r="M53" s="40"/>
      <c r="N53" s="28"/>
      <c r="O53" s="53"/>
      <c r="Q53" s="40"/>
    </row>
    <row r="54" spans="1:17" ht="16.25" customHeight="1">
      <c r="A54" s="9" t="s">
        <v>278</v>
      </c>
      <c r="B54" s="14" t="s">
        <v>313</v>
      </c>
      <c r="C54" s="14" t="s">
        <v>132</v>
      </c>
      <c r="D54" s="48"/>
      <c r="E54" s="49"/>
      <c r="F54" s="19"/>
      <c r="G54" s="9"/>
      <c r="H54" s="85" t="str">
        <f t="shared" si="1"/>
        <v/>
      </c>
      <c r="I54" s="9"/>
      <c r="J54" s="9"/>
      <c r="K54" s="40"/>
      <c r="L54" s="40"/>
      <c r="M54" s="40"/>
      <c r="N54" s="28"/>
      <c r="O54" s="53"/>
      <c r="Q54" s="40"/>
    </row>
    <row r="55" spans="1:17" ht="16.25" customHeight="1">
      <c r="A55" s="9" t="s">
        <v>278</v>
      </c>
      <c r="B55" s="14" t="s">
        <v>313</v>
      </c>
      <c r="C55" s="14" t="s">
        <v>132</v>
      </c>
      <c r="D55" s="48"/>
      <c r="E55" s="49"/>
      <c r="F55" s="19"/>
      <c r="G55" s="9"/>
      <c r="H55" s="85" t="str">
        <f t="shared" si="1"/>
        <v/>
      </c>
      <c r="I55" s="9"/>
      <c r="J55" s="9"/>
      <c r="K55" s="40"/>
      <c r="L55" s="40"/>
      <c r="M55" s="40"/>
      <c r="N55" s="28"/>
      <c r="O55" s="53"/>
      <c r="Q55" s="40"/>
    </row>
    <row r="56" spans="1:17" ht="16.25" customHeight="1">
      <c r="A56" s="9" t="s">
        <v>278</v>
      </c>
      <c r="B56" s="14" t="s">
        <v>313</v>
      </c>
      <c r="C56" s="14" t="s">
        <v>132</v>
      </c>
      <c r="D56" s="48"/>
      <c r="E56" s="49"/>
      <c r="F56" s="19"/>
      <c r="G56" s="9"/>
      <c r="H56" s="85" t="str">
        <f t="shared" si="1"/>
        <v/>
      </c>
      <c r="I56" s="9"/>
      <c r="J56" s="9"/>
      <c r="K56" s="40"/>
      <c r="L56" s="40"/>
      <c r="M56" s="40"/>
      <c r="N56" s="28"/>
      <c r="O56" s="53"/>
      <c r="Q56" s="40"/>
    </row>
    <row r="57" spans="1:17" ht="16.25" customHeight="1">
      <c r="A57" s="9" t="s">
        <v>278</v>
      </c>
      <c r="B57" s="14" t="s">
        <v>313</v>
      </c>
      <c r="C57" s="14" t="s">
        <v>132</v>
      </c>
      <c r="D57" s="48"/>
      <c r="E57" s="49"/>
      <c r="F57" s="19"/>
      <c r="G57" s="9"/>
      <c r="H57" s="85" t="str">
        <f t="shared" si="1"/>
        <v/>
      </c>
      <c r="I57" s="9"/>
      <c r="J57" s="9"/>
      <c r="K57" s="40"/>
      <c r="L57" s="40"/>
      <c r="M57" s="40"/>
      <c r="N57" s="28"/>
      <c r="O57" s="53"/>
      <c r="Q57" s="40"/>
    </row>
    <row r="58" spans="1:17" ht="16.25" customHeight="1">
      <c r="A58" s="9" t="s">
        <v>278</v>
      </c>
      <c r="B58" s="14" t="s">
        <v>313</v>
      </c>
      <c r="C58" s="14" t="s">
        <v>132</v>
      </c>
      <c r="D58" s="48"/>
      <c r="E58" s="49"/>
      <c r="F58" s="19"/>
      <c r="G58" s="9"/>
      <c r="H58" s="85" t="str">
        <f t="shared" si="1"/>
        <v/>
      </c>
      <c r="I58" s="9"/>
      <c r="J58" s="9"/>
      <c r="K58" s="40"/>
      <c r="L58" s="40"/>
      <c r="M58" s="40"/>
      <c r="N58" s="28"/>
      <c r="O58" s="53"/>
      <c r="Q58" s="40"/>
    </row>
    <row r="59" spans="1:17" ht="16.25" customHeight="1">
      <c r="A59" s="9" t="s">
        <v>278</v>
      </c>
      <c r="B59" s="14" t="s">
        <v>313</v>
      </c>
      <c r="C59" s="14" t="s">
        <v>132</v>
      </c>
      <c r="D59" s="48"/>
      <c r="E59" s="49"/>
      <c r="F59" s="19"/>
      <c r="G59" s="9"/>
      <c r="H59" s="85" t="str">
        <f t="shared" si="1"/>
        <v/>
      </c>
      <c r="I59" s="9"/>
      <c r="J59" s="9"/>
      <c r="K59" s="40"/>
      <c r="L59" s="40"/>
      <c r="M59" s="40"/>
      <c r="N59" s="28"/>
      <c r="O59" s="53"/>
      <c r="Q59" s="40"/>
    </row>
    <row r="60" spans="1:17" ht="16.25" customHeight="1">
      <c r="A60" s="9" t="s">
        <v>278</v>
      </c>
      <c r="B60" s="14" t="s">
        <v>313</v>
      </c>
      <c r="C60" s="14" t="s">
        <v>132</v>
      </c>
      <c r="D60" s="48"/>
      <c r="E60" s="49"/>
      <c r="F60" s="19"/>
      <c r="G60" s="9"/>
      <c r="H60" s="85" t="str">
        <f t="shared" si="1"/>
        <v/>
      </c>
      <c r="I60" s="9"/>
      <c r="J60" s="9"/>
      <c r="K60" s="40"/>
      <c r="L60" s="40"/>
      <c r="M60" s="40"/>
      <c r="N60" s="28"/>
      <c r="O60" s="53"/>
      <c r="Q60" s="40"/>
    </row>
    <row r="61" spans="1:17" ht="16.25" customHeight="1">
      <c r="A61" s="9" t="s">
        <v>278</v>
      </c>
      <c r="B61" s="14" t="s">
        <v>313</v>
      </c>
      <c r="C61" s="14" t="s">
        <v>132</v>
      </c>
      <c r="D61" s="48"/>
      <c r="E61" s="49"/>
      <c r="F61" s="19"/>
      <c r="G61" s="9"/>
      <c r="H61" s="85" t="str">
        <f t="shared" si="1"/>
        <v/>
      </c>
      <c r="I61" s="9"/>
      <c r="J61" s="9"/>
      <c r="K61" s="40"/>
      <c r="L61" s="40"/>
      <c r="M61" s="40"/>
      <c r="N61" s="28"/>
      <c r="O61" s="53"/>
      <c r="Q61" s="40"/>
    </row>
    <row r="62" spans="1:17" ht="16.25" customHeight="1">
      <c r="A62" s="9" t="s">
        <v>278</v>
      </c>
      <c r="B62" s="14" t="s">
        <v>313</v>
      </c>
      <c r="C62" s="14" t="s">
        <v>132</v>
      </c>
      <c r="D62" s="48"/>
      <c r="E62" s="49"/>
      <c r="F62" s="19"/>
      <c r="G62" s="9"/>
      <c r="H62" s="85" t="str">
        <f t="shared" si="1"/>
        <v/>
      </c>
      <c r="I62" s="9"/>
      <c r="J62" s="9"/>
      <c r="K62" s="40"/>
      <c r="L62" s="40"/>
      <c r="M62" s="40"/>
      <c r="N62" s="28"/>
      <c r="O62" s="53"/>
      <c r="Q62" s="40"/>
    </row>
    <row r="63" spans="1:17" ht="16.25" customHeight="1">
      <c r="A63" s="9" t="s">
        <v>278</v>
      </c>
      <c r="B63" s="14" t="s">
        <v>313</v>
      </c>
      <c r="C63" s="14" t="s">
        <v>132</v>
      </c>
      <c r="D63" s="48"/>
      <c r="E63" s="49"/>
      <c r="F63" s="19"/>
      <c r="G63" s="9"/>
      <c r="H63" s="85" t="str">
        <f t="shared" si="1"/>
        <v/>
      </c>
      <c r="I63" s="9"/>
      <c r="J63" s="9"/>
      <c r="K63" s="40"/>
      <c r="L63" s="40"/>
      <c r="M63" s="40"/>
      <c r="N63" s="28"/>
      <c r="O63" s="53"/>
      <c r="Q63" s="40"/>
    </row>
    <row r="64" spans="1:17" ht="16.25" customHeight="1">
      <c r="A64" s="9" t="s">
        <v>278</v>
      </c>
      <c r="B64" s="14" t="s">
        <v>313</v>
      </c>
      <c r="C64" s="14" t="s">
        <v>132</v>
      </c>
      <c r="D64" s="48"/>
      <c r="E64" s="49"/>
      <c r="F64" s="19"/>
      <c r="G64" s="9"/>
      <c r="H64" s="85" t="str">
        <f t="shared" si="1"/>
        <v/>
      </c>
      <c r="I64" s="9"/>
      <c r="J64" s="9"/>
      <c r="K64" s="40"/>
      <c r="L64" s="40"/>
      <c r="M64" s="40"/>
      <c r="N64" s="28"/>
      <c r="O64" s="53"/>
      <c r="Q64" s="40"/>
    </row>
    <row r="65" spans="1:17" ht="16.25" customHeight="1">
      <c r="A65" s="9" t="s">
        <v>278</v>
      </c>
      <c r="B65" s="14" t="s">
        <v>313</v>
      </c>
      <c r="C65" s="14" t="s">
        <v>132</v>
      </c>
      <c r="D65" s="48"/>
      <c r="E65" s="49"/>
      <c r="F65" s="19"/>
      <c r="G65" s="9"/>
      <c r="H65" s="85" t="str">
        <f t="shared" si="1"/>
        <v/>
      </c>
      <c r="I65" s="9"/>
      <c r="J65" s="9"/>
      <c r="K65" s="40"/>
      <c r="L65" s="40"/>
      <c r="M65" s="40"/>
      <c r="N65" s="28"/>
      <c r="O65" s="53"/>
      <c r="Q65" s="40"/>
    </row>
    <row r="66" spans="1:17" ht="16.25" customHeight="1">
      <c r="A66" s="9" t="s">
        <v>278</v>
      </c>
      <c r="B66" s="14" t="s">
        <v>313</v>
      </c>
      <c r="C66" s="14" t="s">
        <v>132</v>
      </c>
      <c r="D66" s="48"/>
      <c r="E66" s="49"/>
      <c r="F66" s="19"/>
      <c r="G66" s="9"/>
      <c r="H66" s="85" t="str">
        <f t="shared" si="1"/>
        <v/>
      </c>
      <c r="I66" s="9"/>
      <c r="J66" s="9"/>
      <c r="K66" s="40"/>
      <c r="L66" s="40"/>
      <c r="M66" s="40"/>
      <c r="N66" s="28"/>
      <c r="O66" s="53"/>
      <c r="Q66" s="40"/>
    </row>
    <row r="67" spans="1:17" ht="16.25" customHeight="1">
      <c r="A67" s="9" t="s">
        <v>278</v>
      </c>
      <c r="B67" s="14" t="s">
        <v>313</v>
      </c>
      <c r="C67" s="14" t="s">
        <v>132</v>
      </c>
      <c r="D67" s="48"/>
      <c r="E67" s="49"/>
      <c r="F67" s="19"/>
      <c r="G67" s="9"/>
      <c r="H67" s="85" t="str">
        <f t="shared" si="1"/>
        <v/>
      </c>
      <c r="I67" s="9"/>
      <c r="J67" s="9"/>
      <c r="K67" s="40"/>
      <c r="L67" s="40"/>
      <c r="M67" s="40"/>
      <c r="N67" s="28"/>
      <c r="O67" s="53"/>
      <c r="Q67" s="40"/>
    </row>
    <row r="68" spans="1:17" ht="16.25" customHeight="1">
      <c r="A68" s="9" t="s">
        <v>278</v>
      </c>
      <c r="B68" s="14" t="s">
        <v>313</v>
      </c>
      <c r="C68" s="14" t="s">
        <v>132</v>
      </c>
      <c r="D68" s="48"/>
      <c r="E68" s="49"/>
      <c r="F68" s="19"/>
      <c r="G68" s="9"/>
      <c r="H68" s="85" t="str">
        <f t="shared" si="1"/>
        <v/>
      </c>
      <c r="I68" s="9"/>
      <c r="J68" s="9"/>
      <c r="K68" s="40"/>
      <c r="L68" s="40"/>
      <c r="M68" s="40"/>
      <c r="N68" s="28"/>
      <c r="O68" s="53"/>
      <c r="Q68" s="40"/>
    </row>
    <row r="69" spans="1:17" ht="16.25" customHeight="1">
      <c r="A69" s="9" t="s">
        <v>278</v>
      </c>
      <c r="B69" s="14" t="s">
        <v>313</v>
      </c>
      <c r="C69" s="14" t="s">
        <v>132</v>
      </c>
      <c r="D69" s="48"/>
      <c r="E69" s="49"/>
      <c r="F69" s="19"/>
      <c r="G69" s="9"/>
      <c r="H69" s="85" t="str">
        <f t="shared" si="1"/>
        <v/>
      </c>
      <c r="I69" s="9"/>
      <c r="J69" s="9"/>
      <c r="K69" s="40"/>
      <c r="L69" s="40"/>
      <c r="M69" s="40"/>
      <c r="N69" s="28"/>
      <c r="O69" s="53"/>
      <c r="Q69" s="40"/>
    </row>
    <row r="70" spans="1:17" ht="16.25" customHeight="1">
      <c r="A70" s="9" t="s">
        <v>278</v>
      </c>
      <c r="B70" s="14" t="s">
        <v>313</v>
      </c>
      <c r="C70" s="14" t="s">
        <v>132</v>
      </c>
      <c r="D70" s="48"/>
      <c r="E70" s="49"/>
      <c r="F70" s="19"/>
      <c r="G70" s="9"/>
      <c r="H70" s="85" t="str">
        <f t="shared" si="1"/>
        <v/>
      </c>
      <c r="I70" s="9"/>
      <c r="J70" s="9"/>
      <c r="K70" s="40"/>
      <c r="L70" s="40"/>
      <c r="M70" s="40"/>
      <c r="N70" s="28"/>
      <c r="O70" s="53"/>
      <c r="Q70" s="40"/>
    </row>
    <row r="71" spans="1:17" ht="16.25" customHeight="1">
      <c r="A71" s="9" t="s">
        <v>278</v>
      </c>
      <c r="B71" s="14" t="s">
        <v>313</v>
      </c>
      <c r="C71" s="14" t="s">
        <v>132</v>
      </c>
      <c r="D71" s="48"/>
      <c r="E71" s="49"/>
      <c r="F71" s="19"/>
      <c r="G71" s="9"/>
      <c r="H71" s="85" t="str">
        <f t="shared" si="1"/>
        <v/>
      </c>
      <c r="I71" s="9"/>
      <c r="J71" s="9"/>
      <c r="K71" s="40"/>
      <c r="L71" s="40"/>
      <c r="M71" s="40"/>
      <c r="N71" s="40"/>
      <c r="O71" s="40"/>
      <c r="P71" s="40"/>
    </row>
    <row r="72" spans="1:17" ht="16.25" customHeight="1">
      <c r="A72" s="9" t="s">
        <v>278</v>
      </c>
      <c r="B72" s="14" t="s">
        <v>313</v>
      </c>
      <c r="C72" s="14" t="s">
        <v>132</v>
      </c>
      <c r="D72" s="48"/>
      <c r="E72" s="49"/>
      <c r="F72" s="54"/>
      <c r="G72" s="9"/>
      <c r="H72" s="85" t="str">
        <f t="shared" si="1"/>
        <v/>
      </c>
      <c r="I72" s="9"/>
      <c r="J72" s="9"/>
    </row>
    <row r="73" spans="1:17" ht="16.25" customHeight="1">
      <c r="A73" s="9" t="s">
        <v>278</v>
      </c>
      <c r="B73" s="14" t="s">
        <v>313</v>
      </c>
      <c r="C73" s="14" t="s">
        <v>132</v>
      </c>
      <c r="D73" s="48"/>
      <c r="E73" s="49"/>
      <c r="F73" s="54"/>
      <c r="G73" s="9"/>
      <c r="H73" s="85" t="str">
        <f t="shared" si="1"/>
        <v/>
      </c>
      <c r="I73" s="9"/>
      <c r="J73" s="9"/>
    </row>
    <row r="74" spans="1:17" ht="16.25" customHeight="1">
      <c r="A74" s="9" t="s">
        <v>278</v>
      </c>
      <c r="B74" s="14" t="s">
        <v>313</v>
      </c>
      <c r="C74" s="14" t="s">
        <v>132</v>
      </c>
      <c r="D74" s="48"/>
      <c r="E74" s="49"/>
      <c r="F74" s="54"/>
      <c r="G74" s="9"/>
      <c r="H74" s="85" t="str">
        <f t="shared" si="1"/>
        <v/>
      </c>
      <c r="I74" s="9"/>
      <c r="J74" s="9"/>
    </row>
    <row r="75" spans="1:17" ht="16.25" customHeight="1">
      <c r="A75" s="9" t="s">
        <v>278</v>
      </c>
      <c r="B75" s="14" t="s">
        <v>313</v>
      </c>
      <c r="C75" s="14" t="s">
        <v>132</v>
      </c>
      <c r="D75" s="48"/>
      <c r="E75" s="49"/>
      <c r="F75" s="54"/>
      <c r="G75" s="9"/>
      <c r="H75" s="85" t="str">
        <f t="shared" si="1"/>
        <v/>
      </c>
      <c r="I75" s="9"/>
      <c r="J75" s="9"/>
    </row>
    <row r="76" spans="1:17" ht="16.25" customHeight="1">
      <c r="A76" s="9" t="s">
        <v>278</v>
      </c>
      <c r="B76" s="14" t="s">
        <v>313</v>
      </c>
      <c r="C76" s="14" t="s">
        <v>132</v>
      </c>
      <c r="D76" s="48"/>
      <c r="E76" s="49"/>
      <c r="F76" s="54"/>
      <c r="G76" s="9"/>
      <c r="H76" s="85" t="str">
        <f t="shared" si="1"/>
        <v/>
      </c>
      <c r="I76" s="9"/>
      <c r="J76" s="9"/>
    </row>
    <row r="77" spans="1:17" ht="16.25" customHeight="1">
      <c r="A77" s="9" t="s">
        <v>278</v>
      </c>
      <c r="B77" s="14" t="s">
        <v>313</v>
      </c>
      <c r="C77" s="14" t="s">
        <v>132</v>
      </c>
      <c r="D77" s="48"/>
      <c r="E77" s="49"/>
      <c r="F77" s="54"/>
      <c r="G77" s="9"/>
      <c r="H77" s="85" t="str">
        <f t="shared" si="1"/>
        <v/>
      </c>
      <c r="I77" s="9"/>
      <c r="J77" s="9"/>
    </row>
    <row r="78" spans="1:17" ht="16.25" customHeight="1">
      <c r="A78" s="9" t="s">
        <v>278</v>
      </c>
      <c r="B78" s="14" t="s">
        <v>313</v>
      </c>
      <c r="C78" s="14" t="s">
        <v>132</v>
      </c>
      <c r="D78" s="48"/>
      <c r="E78" s="49"/>
      <c r="F78" s="54"/>
      <c r="G78" s="9"/>
      <c r="H78" s="85" t="str">
        <f t="shared" si="1"/>
        <v/>
      </c>
      <c r="I78" s="9"/>
      <c r="J78" s="9"/>
    </row>
    <row r="79" spans="1:17" ht="16.25" customHeight="1">
      <c r="A79" s="9" t="s">
        <v>278</v>
      </c>
      <c r="B79" s="14" t="s">
        <v>313</v>
      </c>
      <c r="C79" s="14" t="s">
        <v>132</v>
      </c>
      <c r="D79" s="48"/>
      <c r="E79" s="49"/>
      <c r="F79" s="54"/>
      <c r="G79" s="9"/>
      <c r="H79" s="85" t="str">
        <f t="shared" si="1"/>
        <v/>
      </c>
      <c r="I79" s="9"/>
      <c r="J79" s="9"/>
    </row>
    <row r="80" spans="1:17" ht="16.25" customHeight="1">
      <c r="A80" s="9" t="s">
        <v>278</v>
      </c>
      <c r="B80" s="14" t="s">
        <v>313</v>
      </c>
      <c r="C80" s="14" t="s">
        <v>132</v>
      </c>
      <c r="D80" s="48"/>
      <c r="E80" s="49"/>
      <c r="F80" s="54"/>
      <c r="G80" s="9"/>
      <c r="H80" s="85" t="str">
        <f t="shared" si="1"/>
        <v/>
      </c>
      <c r="I80" s="9"/>
      <c r="J80" s="9"/>
    </row>
    <row r="81" spans="1:10" ht="16.25" customHeight="1">
      <c r="A81" s="9" t="s">
        <v>278</v>
      </c>
      <c r="B81" s="14" t="s">
        <v>313</v>
      </c>
      <c r="C81" s="14" t="s">
        <v>132</v>
      </c>
      <c r="D81" s="48"/>
      <c r="E81" s="49"/>
      <c r="F81" s="54"/>
      <c r="G81" s="9"/>
      <c r="H81" s="85" t="str">
        <f t="shared" si="1"/>
        <v/>
      </c>
      <c r="I81" s="9"/>
      <c r="J81" s="9"/>
    </row>
    <row r="82" spans="1:10" ht="16.25" customHeight="1">
      <c r="A82" s="9" t="s">
        <v>278</v>
      </c>
      <c r="B82" s="14" t="s">
        <v>313</v>
      </c>
      <c r="C82" s="14" t="s">
        <v>132</v>
      </c>
      <c r="D82" s="48"/>
      <c r="E82" s="49"/>
      <c r="F82" s="54"/>
      <c r="G82" s="9"/>
      <c r="H82" s="85" t="str">
        <f t="shared" si="1"/>
        <v/>
      </c>
      <c r="I82" s="9"/>
      <c r="J82" s="9"/>
    </row>
    <row r="83" spans="1:10" ht="16.25" customHeight="1">
      <c r="A83" s="9" t="s">
        <v>278</v>
      </c>
      <c r="B83" s="14" t="s">
        <v>313</v>
      </c>
      <c r="C83" s="14" t="s">
        <v>132</v>
      </c>
      <c r="D83" s="48"/>
      <c r="E83" s="49"/>
      <c r="F83" s="54"/>
      <c r="G83" s="9"/>
      <c r="H83" s="85" t="str">
        <f t="shared" si="1"/>
        <v/>
      </c>
      <c r="I83" s="9"/>
      <c r="J83" s="9"/>
    </row>
    <row r="84" spans="1:10" ht="16.25" customHeight="1">
      <c r="A84" s="9" t="s">
        <v>278</v>
      </c>
      <c r="B84" s="14" t="s">
        <v>313</v>
      </c>
      <c r="C84" s="14" t="s">
        <v>132</v>
      </c>
      <c r="D84" s="48"/>
      <c r="E84" s="49"/>
      <c r="F84" s="54"/>
      <c r="G84" s="9"/>
      <c r="H84" s="85" t="str">
        <f t="shared" si="1"/>
        <v/>
      </c>
      <c r="I84" s="9"/>
      <c r="J84" s="9"/>
    </row>
    <row r="85" spans="1:10" ht="16.25" customHeight="1">
      <c r="A85" s="9" t="s">
        <v>278</v>
      </c>
      <c r="B85" s="14" t="s">
        <v>313</v>
      </c>
      <c r="C85" s="14" t="s">
        <v>132</v>
      </c>
      <c r="D85" s="48"/>
      <c r="E85" s="49"/>
      <c r="F85" s="54"/>
      <c r="G85" s="9"/>
      <c r="H85" s="85" t="str">
        <f t="shared" si="1"/>
        <v/>
      </c>
      <c r="I85" s="9"/>
      <c r="J85" s="9"/>
    </row>
    <row r="86" spans="1:10" ht="16.25" customHeight="1">
      <c r="A86" s="9" t="s">
        <v>278</v>
      </c>
      <c r="B86" s="14" t="s">
        <v>313</v>
      </c>
      <c r="C86" s="14" t="s">
        <v>132</v>
      </c>
      <c r="D86" s="48"/>
      <c r="E86" s="49"/>
      <c r="F86" s="54"/>
      <c r="G86" s="9"/>
      <c r="H86" s="85" t="str">
        <f t="shared" si="1"/>
        <v/>
      </c>
      <c r="I86" s="9"/>
      <c r="J86" s="9"/>
    </row>
    <row r="87" spans="1:10" ht="16.25" customHeight="1">
      <c r="A87" s="9" t="s">
        <v>278</v>
      </c>
      <c r="B87" s="14" t="s">
        <v>313</v>
      </c>
      <c r="C87" s="14" t="s">
        <v>132</v>
      </c>
      <c r="D87" s="48"/>
      <c r="E87" s="49"/>
      <c r="F87" s="54"/>
      <c r="G87" s="9"/>
      <c r="H87" s="85" t="str">
        <f t="shared" si="1"/>
        <v/>
      </c>
      <c r="I87" s="9"/>
      <c r="J87" s="9"/>
    </row>
    <row r="88" spans="1:10" ht="16.25" customHeight="1">
      <c r="A88" s="9" t="s">
        <v>278</v>
      </c>
      <c r="B88" s="14" t="s">
        <v>313</v>
      </c>
      <c r="C88" s="14" t="s">
        <v>132</v>
      </c>
      <c r="D88" s="48"/>
      <c r="E88" s="49"/>
      <c r="F88" s="54"/>
      <c r="G88" s="9"/>
      <c r="H88" s="85" t="str">
        <f t="shared" si="1"/>
        <v/>
      </c>
      <c r="I88" s="9"/>
      <c r="J88" s="9"/>
    </row>
    <row r="89" spans="1:10" ht="16.25" customHeight="1">
      <c r="A89" s="9" t="s">
        <v>278</v>
      </c>
      <c r="B89" s="14" t="s">
        <v>313</v>
      </c>
      <c r="C89" s="14" t="s">
        <v>132</v>
      </c>
      <c r="D89" s="48"/>
      <c r="E89" s="49"/>
      <c r="F89" s="54"/>
      <c r="G89" s="9"/>
      <c r="H89" s="85" t="str">
        <f t="shared" si="1"/>
        <v/>
      </c>
      <c r="I89" s="9"/>
      <c r="J89" s="9"/>
    </row>
    <row r="90" spans="1:10" ht="16.25" customHeight="1">
      <c r="A90" s="9" t="s">
        <v>278</v>
      </c>
      <c r="B90" s="14" t="s">
        <v>313</v>
      </c>
      <c r="C90" s="14" t="s">
        <v>132</v>
      </c>
      <c r="D90" s="48"/>
      <c r="E90" s="49"/>
      <c r="F90" s="54"/>
      <c r="G90" s="9"/>
      <c r="H90" s="85" t="str">
        <f t="shared" si="1"/>
        <v/>
      </c>
      <c r="I90" s="9"/>
      <c r="J90" s="9"/>
    </row>
    <row r="91" spans="1:10" ht="16.25" customHeight="1">
      <c r="A91" s="9" t="s">
        <v>278</v>
      </c>
      <c r="B91" s="14" t="s">
        <v>313</v>
      </c>
      <c r="C91" s="14" t="s">
        <v>132</v>
      </c>
      <c r="D91" s="48"/>
      <c r="E91" s="49"/>
      <c r="F91" s="54"/>
      <c r="G91" s="9"/>
      <c r="H91" s="85" t="str">
        <f t="shared" si="1"/>
        <v/>
      </c>
      <c r="I91" s="9"/>
      <c r="J91" s="9"/>
    </row>
    <row r="92" spans="1:10" ht="16.25" customHeight="1">
      <c r="A92" s="9" t="s">
        <v>278</v>
      </c>
      <c r="B92" s="14" t="s">
        <v>313</v>
      </c>
      <c r="C92" s="14" t="s">
        <v>132</v>
      </c>
      <c r="D92" s="48"/>
      <c r="E92" s="49"/>
      <c r="F92" s="54"/>
      <c r="G92" s="9"/>
      <c r="H92" s="85" t="str">
        <f t="shared" si="1"/>
        <v/>
      </c>
      <c r="I92" s="9"/>
      <c r="J92" s="9"/>
    </row>
    <row r="93" spans="1:10" ht="16.25" customHeight="1">
      <c r="A93" s="9" t="s">
        <v>278</v>
      </c>
      <c r="B93" s="14" t="s">
        <v>313</v>
      </c>
      <c r="C93" s="14" t="s">
        <v>132</v>
      </c>
      <c r="D93" s="48"/>
      <c r="E93" s="49"/>
      <c r="F93" s="54"/>
      <c r="G93" s="9"/>
      <c r="H93" s="85" t="str">
        <f t="shared" si="1"/>
        <v/>
      </c>
      <c r="I93" s="9"/>
      <c r="J93" s="9"/>
    </row>
    <row r="94" spans="1:10" ht="16.25" customHeight="1">
      <c r="A94" s="9" t="s">
        <v>278</v>
      </c>
      <c r="B94" s="14" t="s">
        <v>313</v>
      </c>
      <c r="C94" s="14" t="s">
        <v>132</v>
      </c>
      <c r="D94" s="48"/>
      <c r="E94" s="49"/>
      <c r="F94" s="54"/>
      <c r="G94" s="9"/>
      <c r="H94" s="85" t="str">
        <f t="shared" si="1"/>
        <v/>
      </c>
      <c r="I94" s="9"/>
      <c r="J94" s="9"/>
    </row>
    <row r="95" spans="1:10" ht="16.25" customHeight="1">
      <c r="A95" s="9" t="s">
        <v>278</v>
      </c>
      <c r="B95" s="14" t="s">
        <v>313</v>
      </c>
      <c r="C95" s="14" t="s">
        <v>132</v>
      </c>
      <c r="D95" s="55"/>
      <c r="E95" s="56"/>
      <c r="F95" s="54"/>
      <c r="G95" s="9"/>
      <c r="H95" s="85" t="str">
        <f t="shared" si="1"/>
        <v/>
      </c>
      <c r="I95" s="9"/>
      <c r="J95" s="9"/>
    </row>
    <row r="96" spans="1:10" ht="16.25" customHeight="1">
      <c r="A96" s="9"/>
      <c r="B96" s="9"/>
      <c r="D96" s="7"/>
      <c r="E96" s="54"/>
      <c r="F96" s="54"/>
      <c r="G96" s="9"/>
      <c r="H96" s="46"/>
      <c r="I96" s="9"/>
      <c r="J96" s="9"/>
    </row>
    <row r="97" spans="1:11" ht="16.25" customHeight="1">
      <c r="A97" s="3" t="s">
        <v>280</v>
      </c>
      <c r="B97" s="15" t="s">
        <v>1</v>
      </c>
      <c r="C97" s="15" t="s">
        <v>2</v>
      </c>
      <c r="D97" s="15" t="s">
        <v>3</v>
      </c>
      <c r="E97" s="15" t="s">
        <v>4</v>
      </c>
      <c r="F97" s="15"/>
      <c r="G97" s="15"/>
      <c r="H97" s="15" t="s">
        <v>5</v>
      </c>
      <c r="I97" s="15" t="s">
        <v>6</v>
      </c>
      <c r="J97" s="15" t="s">
        <v>559</v>
      </c>
      <c r="K97" s="50" t="s">
        <v>7</v>
      </c>
    </row>
    <row r="98" spans="1:11" s="30" customFormat="1" ht="16.25" customHeight="1">
      <c r="A98" s="6" t="s">
        <v>25</v>
      </c>
      <c r="B98" s="14" t="s">
        <v>643</v>
      </c>
      <c r="C98" s="14" t="str">
        <f>IF(D8="yes","Enter","Not applicable")</f>
        <v>Not applicable</v>
      </c>
      <c r="D98" s="20"/>
      <c r="E98" s="20"/>
      <c r="F98" s="52"/>
      <c r="G98" s="52"/>
      <c r="H98" s="14" t="s">
        <v>12</v>
      </c>
      <c r="I98" s="52" t="s">
        <v>9</v>
      </c>
      <c r="J98" s="52" t="s">
        <v>9</v>
      </c>
      <c r="K98" s="9"/>
    </row>
    <row r="99" spans="1:11" ht="16.25" customHeight="1">
      <c r="A99" s="5" t="s">
        <v>26</v>
      </c>
      <c r="B99" s="14" t="s">
        <v>27</v>
      </c>
      <c r="C99" s="14" t="str">
        <f>IF(D8="yes","Enter","Not applicable")</f>
        <v>Not applicable</v>
      </c>
      <c r="D99" s="20"/>
      <c r="E99" s="20"/>
      <c r="F99" s="52"/>
      <c r="G99" s="52"/>
      <c r="H99" s="14" t="s">
        <v>22</v>
      </c>
      <c r="I99" s="52" t="s">
        <v>9</v>
      </c>
      <c r="J99" s="52" t="s">
        <v>9</v>
      </c>
      <c r="K99" s="35"/>
    </row>
    <row r="100" spans="1:11" ht="16.25" customHeight="1">
      <c r="A100" s="5" t="s">
        <v>580</v>
      </c>
      <c r="B100" s="14" t="s">
        <v>558</v>
      </c>
      <c r="C100" s="14" t="str">
        <f>IF(D8="yes","Enter","Not applicable")</f>
        <v>Not applicable</v>
      </c>
      <c r="D100" s="57"/>
      <c r="E100" s="57"/>
      <c r="F100" s="52"/>
      <c r="G100" s="52"/>
      <c r="H100" s="14" t="s">
        <v>22</v>
      </c>
      <c r="I100" s="58" t="str">
        <f>IF(D8="yes",(D106*D107/(D11*D165))*D163,"NA")</f>
        <v>NA</v>
      </c>
      <c r="J100" s="58" t="str">
        <f>IF(D8="yes",D163*SQRT(('Standard Error Calculations'!D47*E13)^2+('Standard Error Calculations'!D48*E23)^2+('Standard Error Calculations'!D49*'Standard Error Calculations'!D14)^2+('Standard Error Calculations'!D50*'Standard Error Calculations'!D16)^2+2*'Standard Error Calculations'!D49*'Standard Error Calculations'!D50*'Standard Error Calculations'!D17+('Standard Error Calculations'!D51*'Standard Error Calculations'!D22)^2+('Standard Error Calculations'!D52*'Standard Error Calculations'!D24)^2+2*'Standard Error Calculations'!D51*'Standard Error Calculations'!D52*'Standard Error Calculations'!D25),"NA")</f>
        <v>NA</v>
      </c>
      <c r="K100" s="9" t="s">
        <v>582</v>
      </c>
    </row>
    <row r="101" spans="1:11" ht="16.25" customHeight="1">
      <c r="A101" s="10"/>
      <c r="B101" s="24"/>
      <c r="C101" s="59"/>
      <c r="D101" s="9"/>
      <c r="E101" s="9"/>
      <c r="F101" s="9"/>
      <c r="G101" s="9"/>
      <c r="H101" s="59"/>
      <c r="I101" s="60"/>
      <c r="J101" s="60"/>
    </row>
    <row r="102" spans="1:11" ht="16.25" customHeight="1">
      <c r="A102" s="11" t="s">
        <v>281</v>
      </c>
      <c r="B102" s="15" t="s">
        <v>1</v>
      </c>
      <c r="C102" s="15" t="s">
        <v>2</v>
      </c>
      <c r="D102" s="15" t="s">
        <v>3</v>
      </c>
      <c r="E102" s="15" t="s">
        <v>4</v>
      </c>
      <c r="F102" s="15"/>
      <c r="G102" s="15"/>
      <c r="H102" s="15" t="s">
        <v>5</v>
      </c>
      <c r="I102" s="15" t="s">
        <v>6</v>
      </c>
      <c r="J102" s="15" t="s">
        <v>559</v>
      </c>
      <c r="K102" s="50" t="s">
        <v>7</v>
      </c>
    </row>
    <row r="103" spans="1:11" ht="16.25" customHeight="1">
      <c r="A103" s="5" t="s">
        <v>105</v>
      </c>
      <c r="B103" s="14" t="s">
        <v>13</v>
      </c>
      <c r="C103" s="14" t="s">
        <v>14</v>
      </c>
      <c r="D103" s="61">
        <f>0.97*D5-1.27</f>
        <v>4.4724000000000004</v>
      </c>
      <c r="E103" s="14" t="s">
        <v>9</v>
      </c>
      <c r="H103" s="14" t="s">
        <v>12</v>
      </c>
      <c r="I103" s="14" t="s">
        <v>9</v>
      </c>
      <c r="J103" s="14" t="s">
        <v>9</v>
      </c>
      <c r="K103" s="9" t="s">
        <v>227</v>
      </c>
    </row>
    <row r="104" spans="1:11" ht="16.25" customHeight="1">
      <c r="A104" s="5" t="s">
        <v>15</v>
      </c>
      <c r="B104" s="14" t="s">
        <v>16</v>
      </c>
      <c r="C104" s="14" t="s">
        <v>14</v>
      </c>
      <c r="D104" s="61">
        <f>LOG(D108*D163)</f>
        <v>4.6189700043360187</v>
      </c>
      <c r="E104" s="14" t="s">
        <v>9</v>
      </c>
      <c r="H104" s="14" t="s">
        <v>12</v>
      </c>
      <c r="I104" s="14" t="s">
        <v>9</v>
      </c>
      <c r="J104" s="14" t="s">
        <v>9</v>
      </c>
      <c r="K104" s="47" t="s">
        <v>322</v>
      </c>
    </row>
    <row r="105" spans="1:11" ht="16.25" customHeight="1">
      <c r="A105" s="5" t="s">
        <v>255</v>
      </c>
      <c r="B105" s="14" t="s">
        <v>18</v>
      </c>
      <c r="C105" s="14" t="s">
        <v>14</v>
      </c>
      <c r="D105" s="61">
        <f>LOG(D109*D163)</f>
        <v>4.6189700043360187</v>
      </c>
      <c r="E105" s="14" t="s">
        <v>9</v>
      </c>
      <c r="H105" s="14" t="s">
        <v>12</v>
      </c>
      <c r="I105" s="14" t="s">
        <v>9</v>
      </c>
      <c r="J105" s="14" t="s">
        <v>9</v>
      </c>
      <c r="K105" s="47" t="s">
        <v>228</v>
      </c>
    </row>
    <row r="106" spans="1:11" ht="16.25" customHeight="1">
      <c r="A106" s="5" t="s">
        <v>319</v>
      </c>
      <c r="B106" s="14" t="s">
        <v>332</v>
      </c>
      <c r="C106" s="14" t="s">
        <v>14</v>
      </c>
      <c r="D106" s="61">
        <f>I106</f>
        <v>0.56173989191923146</v>
      </c>
      <c r="E106" s="14" t="s">
        <v>9</v>
      </c>
      <c r="H106" s="14" t="s">
        <v>12</v>
      </c>
      <c r="I106" s="62">
        <f>(1.78+152.5/D163)^(-1)</f>
        <v>0.56173989191923146</v>
      </c>
      <c r="J106" s="14" t="s">
        <v>9</v>
      </c>
      <c r="K106" s="9" t="s">
        <v>334</v>
      </c>
    </row>
    <row r="107" spans="1:11" ht="16.25" customHeight="1">
      <c r="A107" s="5" t="s">
        <v>320</v>
      </c>
      <c r="B107" s="14" t="s">
        <v>333</v>
      </c>
      <c r="C107" s="14" t="s">
        <v>14</v>
      </c>
      <c r="D107" s="61">
        <f>I107</f>
        <v>1.7416986872748208</v>
      </c>
      <c r="E107" s="14" t="s">
        <v>9</v>
      </c>
      <c r="H107" s="14" t="s">
        <v>321</v>
      </c>
      <c r="I107" s="62">
        <f>1878*D11^0.737/D21</f>
        <v>1.7416986872748208</v>
      </c>
      <c r="J107" s="14" t="s">
        <v>9</v>
      </c>
      <c r="K107" s="9" t="s">
        <v>416</v>
      </c>
    </row>
    <row r="108" spans="1:11" ht="16.25" customHeight="1">
      <c r="A108" s="6" t="s">
        <v>695</v>
      </c>
      <c r="B108" s="14" t="s">
        <v>251</v>
      </c>
      <c r="C108" s="14" t="s">
        <v>14</v>
      </c>
      <c r="D108" s="63">
        <f t="shared" ref="D108:D117" si="2">I108</f>
        <v>0.05</v>
      </c>
      <c r="E108" s="14" t="s">
        <v>225</v>
      </c>
      <c r="H108" s="14" t="s">
        <v>12</v>
      </c>
      <c r="I108" s="64">
        <v>0.05</v>
      </c>
      <c r="J108" s="14" t="s">
        <v>9</v>
      </c>
      <c r="K108" s="9" t="s">
        <v>17</v>
      </c>
    </row>
    <row r="109" spans="1:11" ht="16.25" customHeight="1">
      <c r="A109" s="6" t="s">
        <v>696</v>
      </c>
      <c r="B109" s="14" t="s">
        <v>72</v>
      </c>
      <c r="C109" s="14" t="s">
        <v>14</v>
      </c>
      <c r="D109" s="63">
        <f t="shared" si="2"/>
        <v>0.05</v>
      </c>
      <c r="E109" s="14" t="s">
        <v>225</v>
      </c>
      <c r="H109" s="14" t="s">
        <v>12</v>
      </c>
      <c r="I109" s="64">
        <v>0.05</v>
      </c>
      <c r="J109" s="14" t="s">
        <v>9</v>
      </c>
      <c r="K109" s="9" t="s">
        <v>17</v>
      </c>
    </row>
    <row r="110" spans="1:11" s="47" customFormat="1" ht="16.25" customHeight="1">
      <c r="A110" s="12" t="s">
        <v>697</v>
      </c>
      <c r="B110" s="24" t="s">
        <v>282</v>
      </c>
      <c r="C110" s="24" t="s">
        <v>14</v>
      </c>
      <c r="D110" s="65">
        <f t="shared" si="2"/>
        <v>1.9999999999999999E-6</v>
      </c>
      <c r="E110" s="66" t="s">
        <v>9</v>
      </c>
      <c r="F110" s="66"/>
      <c r="G110" s="66"/>
      <c r="H110" s="24" t="s">
        <v>272</v>
      </c>
      <c r="I110" s="67">
        <v>1.9999999999999999E-6</v>
      </c>
      <c r="J110" s="14" t="s">
        <v>9</v>
      </c>
      <c r="K110" s="12" t="s">
        <v>692</v>
      </c>
    </row>
    <row r="111" spans="1:11" s="35" customFormat="1" ht="16.25" customHeight="1">
      <c r="A111" s="12" t="s">
        <v>157</v>
      </c>
      <c r="B111" s="24" t="s">
        <v>158</v>
      </c>
      <c r="C111" s="24" t="s">
        <v>14</v>
      </c>
      <c r="D111" s="68">
        <v>0</v>
      </c>
      <c r="E111" s="29" t="s">
        <v>9</v>
      </c>
      <c r="F111" s="29"/>
      <c r="G111" s="29"/>
      <c r="H111" s="24" t="s">
        <v>31</v>
      </c>
      <c r="I111" s="64">
        <v>0</v>
      </c>
      <c r="J111" s="14" t="s">
        <v>9</v>
      </c>
      <c r="K111" s="9" t="s">
        <v>296</v>
      </c>
    </row>
    <row r="112" spans="1:11" ht="16.25" customHeight="1">
      <c r="A112" s="5" t="s">
        <v>79</v>
      </c>
      <c r="B112" s="14" t="s">
        <v>181</v>
      </c>
      <c r="C112" s="24" t="s">
        <v>14</v>
      </c>
      <c r="D112" s="63">
        <f t="shared" si="2"/>
        <v>1</v>
      </c>
      <c r="E112" s="14" t="s">
        <v>225</v>
      </c>
      <c r="H112" s="14" t="s">
        <v>80</v>
      </c>
      <c r="I112" s="69">
        <v>1</v>
      </c>
      <c r="J112" s="14" t="s">
        <v>9</v>
      </c>
      <c r="K112" s="9" t="s">
        <v>295</v>
      </c>
    </row>
    <row r="113" spans="1:11" ht="16.25" customHeight="1">
      <c r="A113" s="5" t="s">
        <v>81</v>
      </c>
      <c r="B113" s="14" t="s">
        <v>182</v>
      </c>
      <c r="C113" s="24" t="s">
        <v>14</v>
      </c>
      <c r="D113" s="63">
        <f t="shared" si="2"/>
        <v>1</v>
      </c>
      <c r="E113" s="14" t="s">
        <v>225</v>
      </c>
      <c r="H113" s="14" t="s">
        <v>80</v>
      </c>
      <c r="I113" s="69">
        <v>1</v>
      </c>
      <c r="J113" s="14" t="s">
        <v>9</v>
      </c>
      <c r="K113" s="9" t="s">
        <v>295</v>
      </c>
    </row>
    <row r="114" spans="1:11" s="35" customFormat="1" ht="16.25" customHeight="1">
      <c r="A114" s="5" t="s">
        <v>126</v>
      </c>
      <c r="B114" s="14" t="s">
        <v>183</v>
      </c>
      <c r="C114" s="24" t="s">
        <v>14</v>
      </c>
      <c r="D114" s="63">
        <f t="shared" si="2"/>
        <v>0.9</v>
      </c>
      <c r="E114" s="14" t="s">
        <v>225</v>
      </c>
      <c r="F114" s="14"/>
      <c r="G114" s="14"/>
      <c r="H114" s="14" t="s">
        <v>80</v>
      </c>
      <c r="I114" s="69">
        <v>0.9</v>
      </c>
      <c r="J114" s="14" t="s">
        <v>9</v>
      </c>
      <c r="K114" s="9" t="s">
        <v>295</v>
      </c>
    </row>
    <row r="115" spans="1:11" s="35" customFormat="1" ht="16.25" customHeight="1">
      <c r="A115" s="5" t="s">
        <v>127</v>
      </c>
      <c r="B115" s="14" t="s">
        <v>184</v>
      </c>
      <c r="C115" s="24" t="s">
        <v>14</v>
      </c>
      <c r="D115" s="63">
        <f t="shared" si="2"/>
        <v>1.22</v>
      </c>
      <c r="E115" s="14" t="s">
        <v>225</v>
      </c>
      <c r="F115" s="14"/>
      <c r="G115" s="14"/>
      <c r="H115" s="14" t="s">
        <v>80</v>
      </c>
      <c r="I115" s="69">
        <v>1.22</v>
      </c>
      <c r="J115" s="14" t="s">
        <v>9</v>
      </c>
      <c r="K115" s="9" t="s">
        <v>295</v>
      </c>
    </row>
    <row r="116" spans="1:11" s="35" customFormat="1" ht="16.25" customHeight="1">
      <c r="A116" s="5" t="s">
        <v>698</v>
      </c>
      <c r="B116" s="14" t="s">
        <v>185</v>
      </c>
      <c r="C116" s="24" t="s">
        <v>14</v>
      </c>
      <c r="D116" s="63">
        <f t="shared" si="2"/>
        <v>1.22</v>
      </c>
      <c r="E116" s="14" t="s">
        <v>225</v>
      </c>
      <c r="F116" s="14"/>
      <c r="G116" s="14"/>
      <c r="H116" s="14" t="s">
        <v>80</v>
      </c>
      <c r="I116" s="69">
        <v>1.22</v>
      </c>
      <c r="J116" s="14" t="s">
        <v>9</v>
      </c>
      <c r="K116" s="9" t="s">
        <v>295</v>
      </c>
    </row>
    <row r="117" spans="1:11" s="35" customFormat="1" ht="16.25" customHeight="1">
      <c r="A117" s="5" t="s">
        <v>128</v>
      </c>
      <c r="B117" s="14" t="s">
        <v>152</v>
      </c>
      <c r="C117" s="24" t="s">
        <v>14</v>
      </c>
      <c r="D117" s="63">
        <f t="shared" si="2"/>
        <v>1</v>
      </c>
      <c r="E117" s="14" t="s">
        <v>225</v>
      </c>
      <c r="F117" s="14"/>
      <c r="G117" s="14"/>
      <c r="H117" s="14" t="s">
        <v>80</v>
      </c>
      <c r="I117" s="69">
        <v>1</v>
      </c>
      <c r="J117" s="14" t="s">
        <v>9</v>
      </c>
      <c r="K117" s="9" t="s">
        <v>295</v>
      </c>
    </row>
    <row r="119" spans="1:11" ht="16.25" customHeight="1">
      <c r="A119" s="7" t="s">
        <v>283</v>
      </c>
      <c r="B119" s="15" t="s">
        <v>1</v>
      </c>
      <c r="C119" s="15" t="s">
        <v>2</v>
      </c>
      <c r="D119" s="15" t="s">
        <v>3</v>
      </c>
      <c r="E119" s="15" t="s">
        <v>4</v>
      </c>
      <c r="F119" s="15"/>
      <c r="G119" s="16" t="s">
        <v>284</v>
      </c>
      <c r="H119" s="15" t="s">
        <v>5</v>
      </c>
      <c r="I119" s="15" t="s">
        <v>6</v>
      </c>
      <c r="J119" s="15" t="s">
        <v>559</v>
      </c>
      <c r="K119" s="50" t="s">
        <v>7</v>
      </c>
    </row>
    <row r="120" spans="1:11" ht="16.25" customHeight="1">
      <c r="A120" s="8" t="s">
        <v>576</v>
      </c>
      <c r="B120" s="28" t="s">
        <v>189</v>
      </c>
      <c r="C120" s="24" t="str">
        <f>IF(COUNTA(D26:E95)=0,"Enter","Change if required")</f>
        <v>Change if required</v>
      </c>
      <c r="D120" s="70">
        <f>IF(COUNTA(D26:E95)=0,"",I120)</f>
        <v>-6.9632614314485268</v>
      </c>
      <c r="E120" s="70">
        <f>IF(COUNTA(D26:E95)=0,"",J120)</f>
        <v>0.13018477294972977</v>
      </c>
      <c r="F120" s="71"/>
      <c r="G120" s="86" t="str">
        <f>IF(COUNTA(D26:E95)=0,"",IF(TDIST(ABS(D120/E120),COUNTA(D26:D95)-2,2)&lt;0.0001,"&lt; 0.0001",TDIST(ABS(D120/E120),COUNTA(D26:D95)-2,2)))</f>
        <v>&lt; 0.0001</v>
      </c>
      <c r="I120" s="87">
        <f>IF(COUNTA(D26:E95)=0,"NA",INTERCEPT(H26:H95,D26:D95))</f>
        <v>-6.9632614314485268</v>
      </c>
      <c r="J120" s="87">
        <f>IF(COUNTA(D26:E95)=0,"NA",STEYX(H26:H95,D26:D95)*SQRT(1/COUNTA(D26:D95)+AVERAGE(D26:D95)^2/DEVSQ(D26:D95)))</f>
        <v>0.13018477294972977</v>
      </c>
      <c r="K120" s="9" t="s">
        <v>587</v>
      </c>
    </row>
    <row r="121" spans="1:11" ht="16.25" customHeight="1">
      <c r="A121" s="8" t="s">
        <v>577</v>
      </c>
      <c r="B121" s="28" t="s">
        <v>190</v>
      </c>
      <c r="C121" s="24" t="str">
        <f>IF(COUNTA(D26:E95)=0,"Enter","Change if required")</f>
        <v>Change if required</v>
      </c>
      <c r="D121" s="70">
        <f>IF(COUNTA(D26:E95)=0,"",I121)</f>
        <v>-0.24418045290821072</v>
      </c>
      <c r="E121" s="70">
        <f>IF(COUNTA(D26:E95)=0,"",J121)</f>
        <v>1.8229514480521496E-2</v>
      </c>
      <c r="F121" s="71"/>
      <c r="G121" s="86" t="str">
        <f>IF(COUNTA(D26:E95)=0,"",IF(TDIST(ABS(D121/E121),COUNTA(D26:D95)-2,2)&lt;0.0001,"&lt; 0.0001",TDIST(ABS(D121/E121),COUNTA(D26:D95)-2,2)))</f>
        <v>&lt; 0.0001</v>
      </c>
      <c r="I121" s="87">
        <f>IF(COUNTA(D26:E95)=0,"NA",SLOPE(H26:H95,D26:D95))</f>
        <v>-0.24418045290821072</v>
      </c>
      <c r="J121" s="87">
        <f>IF(COUNTA(D26:E95)=0,"NA",STEYX(H26:H95,D26:D95)/SQRT(DEVSQ(D26:D95)))</f>
        <v>1.8229514480521496E-2</v>
      </c>
      <c r="K121" s="9" t="s">
        <v>588</v>
      </c>
    </row>
    <row r="122" spans="1:11" ht="16.25" customHeight="1">
      <c r="A122" s="8" t="s">
        <v>560</v>
      </c>
      <c r="B122" s="28" t="s">
        <v>191</v>
      </c>
      <c r="C122" s="24" t="str">
        <f>IF(COUNTA(D26:E95)=0,"Enter","Change if required")</f>
        <v>Change if required</v>
      </c>
      <c r="D122" s="70">
        <f>IF(COUNTA(D26:E95)=0,"",I122)</f>
        <v>-1.6615759909777146E-3</v>
      </c>
      <c r="E122" s="24" t="s">
        <v>9</v>
      </c>
      <c r="F122" s="24"/>
      <c r="G122" s="24"/>
      <c r="I122" s="87">
        <f>IF(COUNTA(D26:E95)=0,"NA",-D124*E121^2)</f>
        <v>-1.6615759909777146E-3</v>
      </c>
      <c r="J122" s="52" t="s">
        <v>9</v>
      </c>
      <c r="K122" s="72" t="s">
        <v>589</v>
      </c>
    </row>
    <row r="123" spans="1:11" ht="16.25" customHeight="1">
      <c r="A123" s="8" t="s">
        <v>699</v>
      </c>
      <c r="B123" s="28" t="s">
        <v>568</v>
      </c>
      <c r="C123" s="24" t="str">
        <f>IF(COUNTA(D26:E95)=0,"Enter","Change if required")</f>
        <v>Change if required</v>
      </c>
      <c r="D123" s="73">
        <f>IF(COUNTA(D26:E95)=0,"",I123)</f>
        <v>25</v>
      </c>
      <c r="E123" s="24" t="s">
        <v>9</v>
      </c>
      <c r="F123" s="24"/>
      <c r="G123" s="24"/>
      <c r="I123" s="88">
        <f>IF(COUNTA(D26:E95)=0,"NA",COUNTA(D26:D95))</f>
        <v>25</v>
      </c>
      <c r="J123" s="52" t="s">
        <v>569</v>
      </c>
      <c r="K123" s="72" t="s">
        <v>583</v>
      </c>
    </row>
    <row r="124" spans="1:11" ht="16.25" customHeight="1">
      <c r="A124" s="8" t="s">
        <v>246</v>
      </c>
      <c r="B124" s="28" t="s">
        <v>245</v>
      </c>
      <c r="C124" s="24" t="str">
        <f>IF(COUNTA(D26:E95)=0,"Enter","Change if required")</f>
        <v>Change if required</v>
      </c>
      <c r="D124" s="74">
        <f>IF(COUNTA(D26:E95)=0,"",I124)</f>
        <v>5</v>
      </c>
      <c r="E124" s="66" t="s">
        <v>9</v>
      </c>
      <c r="F124" s="66"/>
      <c r="G124" s="75"/>
      <c r="H124" s="28" t="s">
        <v>89</v>
      </c>
      <c r="I124" s="89">
        <f>IF(COUNTA(D26:E95)=0,"NA",SUM(D26:D95)/COUNTA(D26:D95))</f>
        <v>5</v>
      </c>
      <c r="J124" s="76" t="s">
        <v>9</v>
      </c>
      <c r="K124" s="72" t="s">
        <v>590</v>
      </c>
    </row>
    <row r="125" spans="1:11" ht="16.25" customHeight="1">
      <c r="G125" s="75"/>
    </row>
    <row r="126" spans="1:11" ht="16.25" customHeight="1">
      <c r="A126" s="7" t="s">
        <v>285</v>
      </c>
      <c r="B126" s="15" t="s">
        <v>1</v>
      </c>
      <c r="C126" s="15" t="s">
        <v>2</v>
      </c>
      <c r="D126" s="15" t="s">
        <v>3</v>
      </c>
      <c r="E126" s="15" t="s">
        <v>4</v>
      </c>
      <c r="F126" s="15"/>
      <c r="G126" s="75"/>
      <c r="H126" s="15" t="s">
        <v>5</v>
      </c>
      <c r="I126" s="15" t="s">
        <v>6</v>
      </c>
      <c r="J126" s="15" t="s">
        <v>559</v>
      </c>
      <c r="K126" s="50" t="s">
        <v>7</v>
      </c>
    </row>
    <row r="127" spans="1:11" s="35" customFormat="1" ht="16.25" customHeight="1">
      <c r="A127" s="6" t="s">
        <v>25</v>
      </c>
      <c r="B127" s="14" t="s">
        <v>606</v>
      </c>
      <c r="C127" s="14" t="s">
        <v>224</v>
      </c>
      <c r="D127" s="90">
        <f>IF(D8="yes",D98,1/(0.0000000056*D163+1.9))</f>
        <v>0.52502867418532972</v>
      </c>
      <c r="E127" s="90">
        <f>'Standard Error Calculations'!D98</f>
        <v>2.7379966322168412E-2</v>
      </c>
      <c r="F127" s="77"/>
      <c r="G127" s="75"/>
      <c r="H127" s="14" t="s">
        <v>12</v>
      </c>
      <c r="I127" s="52" t="s">
        <v>249</v>
      </c>
      <c r="J127" s="52" t="s">
        <v>9</v>
      </c>
      <c r="K127" s="9" t="s">
        <v>607</v>
      </c>
    </row>
    <row r="128" spans="1:11" s="35" customFormat="1" ht="16.25" customHeight="1">
      <c r="A128" s="5" t="s">
        <v>26</v>
      </c>
      <c r="B128" s="14" t="s">
        <v>27</v>
      </c>
      <c r="C128" s="14" t="s">
        <v>224</v>
      </c>
      <c r="D128" s="90">
        <f>IF(D8="yes",D99,D134+D135*(1-D129)+D23)</f>
        <v>7.6979176015408976E-2</v>
      </c>
      <c r="E128" s="90">
        <f>'Standard Error Calculations'!D99</f>
        <v>3.4248313042356806E-3</v>
      </c>
      <c r="F128" s="77"/>
      <c r="G128" s="75"/>
      <c r="H128" s="14" t="s">
        <v>22</v>
      </c>
      <c r="I128" s="52" t="s">
        <v>249</v>
      </c>
      <c r="J128" s="52" t="s">
        <v>9</v>
      </c>
      <c r="K128" s="9" t="s">
        <v>676</v>
      </c>
    </row>
    <row r="129" spans="1:11" ht="16.25" customHeight="1">
      <c r="A129" s="6" t="s">
        <v>19</v>
      </c>
      <c r="B129" s="14" t="s">
        <v>605</v>
      </c>
      <c r="C129" s="14" t="s">
        <v>224</v>
      </c>
      <c r="D129" s="90">
        <f>-EXP(D120)*D121/(D12*D13*(1-EXP(D121*D14)))</f>
        <v>0.18576280420447489</v>
      </c>
      <c r="E129" s="91">
        <f>'Standard Error Calculations'!D95</f>
        <v>3.2697776722841881E-2</v>
      </c>
      <c r="F129" s="78"/>
      <c r="G129" s="75"/>
      <c r="H129" s="14" t="s">
        <v>12</v>
      </c>
      <c r="I129" s="52" t="s">
        <v>249</v>
      </c>
      <c r="J129" s="52" t="s">
        <v>9</v>
      </c>
      <c r="K129" s="72" t="s">
        <v>608</v>
      </c>
    </row>
    <row r="130" spans="1:11" ht="16.25" customHeight="1">
      <c r="A130" s="6" t="s">
        <v>292</v>
      </c>
      <c r="B130" s="14" t="s">
        <v>306</v>
      </c>
      <c r="C130" s="14" t="s">
        <v>224</v>
      </c>
      <c r="D130" s="90">
        <f>D129*D13</f>
        <v>5.5728841261342464E-3</v>
      </c>
      <c r="E130" s="91">
        <f>'Standard Error Calculations'!D96</f>
        <v>9.8093330168525644E-4</v>
      </c>
      <c r="F130" s="78"/>
      <c r="G130" s="75"/>
      <c r="H130" s="14" t="s">
        <v>391</v>
      </c>
      <c r="I130" s="52" t="s">
        <v>249</v>
      </c>
      <c r="J130" s="52" t="s">
        <v>9</v>
      </c>
      <c r="K130" s="72" t="s">
        <v>677</v>
      </c>
    </row>
    <row r="131" spans="1:11" ht="16.25" customHeight="1">
      <c r="A131" s="5" t="s">
        <v>20</v>
      </c>
      <c r="B131" s="14" t="s">
        <v>21</v>
      </c>
      <c r="C131" s="14" t="s">
        <v>248</v>
      </c>
      <c r="D131" s="90">
        <f>-1*D121</f>
        <v>0.24418045290821072</v>
      </c>
      <c r="E131" s="91">
        <f>'Standard Error Calculations'!D97</f>
        <v>1.8229514480521496E-2</v>
      </c>
      <c r="F131" s="78"/>
      <c r="G131" s="75"/>
      <c r="H131" s="14" t="s">
        <v>22</v>
      </c>
      <c r="I131" s="52" t="s">
        <v>250</v>
      </c>
      <c r="J131" s="52" t="s">
        <v>9</v>
      </c>
      <c r="K131" s="9" t="s">
        <v>461</v>
      </c>
    </row>
    <row r="132" spans="1:11" s="79" customFormat="1" ht="16.25" customHeight="1">
      <c r="A132" s="12" t="s">
        <v>54</v>
      </c>
      <c r="B132" s="14" t="s">
        <v>329</v>
      </c>
      <c r="C132" s="24" t="s">
        <v>133</v>
      </c>
      <c r="D132" s="92">
        <f>D134*D165</f>
        <v>698.84402310401788</v>
      </c>
      <c r="E132" s="93">
        <f>'Standard Error Calculations'!D100</f>
        <v>30.072712663211576</v>
      </c>
      <c r="F132" s="53"/>
      <c r="G132" s="75"/>
      <c r="H132" s="24" t="s">
        <v>392</v>
      </c>
      <c r="I132" s="52" t="s">
        <v>249</v>
      </c>
      <c r="J132" s="52" t="s">
        <v>9</v>
      </c>
      <c r="K132" s="9" t="s">
        <v>324</v>
      </c>
    </row>
    <row r="133" spans="1:11" s="79" customFormat="1" ht="16.25" customHeight="1">
      <c r="A133" s="12" t="s">
        <v>307</v>
      </c>
      <c r="B133" s="14" t="s">
        <v>330</v>
      </c>
      <c r="C133" s="24" t="s">
        <v>133</v>
      </c>
      <c r="D133" s="92">
        <f>D132*D160</f>
        <v>659.6905528574755</v>
      </c>
      <c r="E133" s="93">
        <f>'Standard Error Calculations'!D101</f>
        <v>28.38785735707037</v>
      </c>
      <c r="F133" s="53"/>
      <c r="G133" s="75"/>
      <c r="H133" s="24" t="s">
        <v>392</v>
      </c>
      <c r="I133" s="52" t="s">
        <v>249</v>
      </c>
      <c r="J133" s="52" t="s">
        <v>9</v>
      </c>
      <c r="K133" s="9" t="s">
        <v>563</v>
      </c>
    </row>
    <row r="134" spans="1:11" ht="16.25" customHeight="1">
      <c r="A134" s="5" t="s">
        <v>55</v>
      </c>
      <c r="B134" s="14" t="s">
        <v>331</v>
      </c>
      <c r="C134" s="24" t="s">
        <v>133</v>
      </c>
      <c r="D134" s="90">
        <f>IF(D8="yes",D100/D163,D106*D107/(D11*D165))</f>
        <v>2.0819461794362042E-2</v>
      </c>
      <c r="E134" s="90">
        <f>'Standard Error Calculations'!D102</f>
        <v>8.9590476793899808E-4</v>
      </c>
      <c r="F134" s="52"/>
      <c r="G134" s="75"/>
      <c r="H134" s="14" t="s">
        <v>22</v>
      </c>
      <c r="I134" s="52" t="s">
        <v>249</v>
      </c>
      <c r="J134" s="52" t="s">
        <v>9</v>
      </c>
      <c r="K134" s="9" t="s">
        <v>581</v>
      </c>
    </row>
    <row r="135" spans="1:11" ht="16.25" customHeight="1">
      <c r="A135" s="13" t="s">
        <v>700</v>
      </c>
      <c r="B135" s="14" t="s">
        <v>56</v>
      </c>
      <c r="C135" s="24" t="s">
        <v>133</v>
      </c>
      <c r="D135" s="90">
        <f>D166*D137*(D155/D11)*(D112/D113)</f>
        <v>2.1885091884741328E-2</v>
      </c>
      <c r="E135" s="90">
        <f>'Standard Error Calculations'!D103</f>
        <v>2.4028732862521871E-3</v>
      </c>
      <c r="F135" s="52"/>
      <c r="G135" s="75"/>
      <c r="H135" s="14" t="s">
        <v>22</v>
      </c>
      <c r="I135" s="52" t="s">
        <v>250</v>
      </c>
      <c r="J135" s="52" t="s">
        <v>9</v>
      </c>
      <c r="K135" s="9" t="s">
        <v>462</v>
      </c>
    </row>
    <row r="136" spans="1:11" ht="16.25" customHeight="1">
      <c r="A136" s="5" t="s">
        <v>57</v>
      </c>
      <c r="B136" s="14" t="s">
        <v>58</v>
      </c>
      <c r="C136" s="24" t="s">
        <v>133</v>
      </c>
      <c r="D136" s="90">
        <f>IF(D131-D128&gt;=0,D131-D128,0)</f>
        <v>0.16720127689280173</v>
      </c>
      <c r="E136" s="90">
        <f>'Standard Error Calculations'!D104</f>
        <v>1.9132315393774284E-2</v>
      </c>
      <c r="F136" s="90" t="str">
        <f>IF(D136=0,"ID","")</f>
        <v/>
      </c>
      <c r="G136" s="75"/>
      <c r="H136" s="14" t="s">
        <v>22</v>
      </c>
      <c r="I136" s="52" t="s">
        <v>249</v>
      </c>
      <c r="J136" s="52" t="s">
        <v>9</v>
      </c>
      <c r="K136" s="9" t="s">
        <v>59</v>
      </c>
    </row>
    <row r="137" spans="1:11" ht="16.25" customHeight="1">
      <c r="A137" s="13" t="s">
        <v>701</v>
      </c>
      <c r="B137" s="14" t="s">
        <v>60</v>
      </c>
      <c r="C137" s="24" t="s">
        <v>133</v>
      </c>
      <c r="D137" s="90">
        <f>D127/(1-D127)*(D168/D155)</f>
        <v>0.87816775756274923</v>
      </c>
      <c r="E137" s="90">
        <f>'Standard Error Calculations'!D105</f>
        <v>9.6418413804638142E-2</v>
      </c>
      <c r="F137" s="52"/>
      <c r="G137" s="75"/>
      <c r="H137" s="14" t="s">
        <v>22</v>
      </c>
      <c r="I137" s="52" t="s">
        <v>249</v>
      </c>
      <c r="J137" s="52" t="s">
        <v>9</v>
      </c>
      <c r="K137" s="9" t="s">
        <v>609</v>
      </c>
    </row>
    <row r="138" spans="1:11" ht="16.25" customHeight="1">
      <c r="A138" s="5" t="s">
        <v>398</v>
      </c>
      <c r="B138" s="14" t="s">
        <v>61</v>
      </c>
      <c r="C138" s="24" t="s">
        <v>133</v>
      </c>
      <c r="D138" s="90">
        <f>D168/D155</f>
        <v>0.79444137931034475</v>
      </c>
      <c r="E138" s="90">
        <f>'Standard Error Calculations'!D106</f>
        <v>0</v>
      </c>
      <c r="F138" s="52"/>
      <c r="G138" s="75"/>
      <c r="H138" s="14" t="s">
        <v>22</v>
      </c>
      <c r="I138" s="52" t="s">
        <v>250</v>
      </c>
      <c r="J138" s="52" t="s">
        <v>9</v>
      </c>
      <c r="K138" s="9" t="s">
        <v>62</v>
      </c>
    </row>
    <row r="139" spans="1:11" ht="16.25" customHeight="1">
      <c r="A139" s="5" t="s">
        <v>592</v>
      </c>
      <c r="B139" s="14" t="s">
        <v>593</v>
      </c>
      <c r="C139" s="24" t="s">
        <v>133</v>
      </c>
      <c r="D139" s="90">
        <f>(D135*(D138+D140)/(D137+D138+D140))</f>
        <v>1.7819655845959181E-2</v>
      </c>
      <c r="E139" s="90">
        <f>'Standard Error Calculations'!D107</f>
        <v>2.0832669692145778E-3</v>
      </c>
      <c r="F139" s="52"/>
      <c r="G139" s="75"/>
      <c r="H139" s="14" t="s">
        <v>22</v>
      </c>
      <c r="I139" s="52" t="s">
        <v>225</v>
      </c>
      <c r="J139" s="52" t="s">
        <v>9</v>
      </c>
      <c r="K139" s="9" t="s">
        <v>594</v>
      </c>
    </row>
    <row r="140" spans="1:11" ht="15.75" customHeight="1">
      <c r="A140" s="13" t="s">
        <v>702</v>
      </c>
      <c r="B140" s="14" t="s">
        <v>63</v>
      </c>
      <c r="C140" s="24" t="s">
        <v>133</v>
      </c>
      <c r="D140" s="90">
        <f>IF((1/D129-1/D127)*D137&gt;=0,(1/D129-1/D127)*D137,0)</f>
        <v>3.0547514417071189</v>
      </c>
      <c r="E140" s="90">
        <f>'Standard Error Calculations'!D108</f>
        <v>0.93327827450721901</v>
      </c>
      <c r="F140" s="90" t="str">
        <f>IF(D140=0,"ID","")</f>
        <v/>
      </c>
      <c r="G140" s="75"/>
      <c r="H140" s="14" t="s">
        <v>22</v>
      </c>
      <c r="I140" s="52" t="s">
        <v>249</v>
      </c>
      <c r="J140" s="52" t="s">
        <v>9</v>
      </c>
      <c r="K140" s="9" t="s">
        <v>610</v>
      </c>
    </row>
    <row r="141" spans="1:11" ht="16.25" customHeight="1">
      <c r="A141" s="5" t="s">
        <v>64</v>
      </c>
      <c r="B141" s="14" t="s">
        <v>65</v>
      </c>
      <c r="C141" s="24" t="s">
        <v>133</v>
      </c>
      <c r="D141" s="90">
        <f>D13*D129/D131</f>
        <v>2.2822810178950464E-2</v>
      </c>
      <c r="E141" s="90">
        <f>'Standard Error Calculations'!D109</f>
        <v>2.7381257116576708E-3</v>
      </c>
      <c r="F141" s="52"/>
      <c r="G141" s="75"/>
      <c r="H141" s="14" t="s">
        <v>390</v>
      </c>
      <c r="I141" s="52" t="s">
        <v>249</v>
      </c>
      <c r="J141" s="52" t="s">
        <v>9</v>
      </c>
      <c r="K141" s="9" t="s">
        <v>611</v>
      </c>
    </row>
    <row r="142" spans="1:11" ht="16.25" customHeight="1">
      <c r="A142" s="5" t="s">
        <v>243</v>
      </c>
      <c r="B142" s="14" t="s">
        <v>66</v>
      </c>
      <c r="C142" s="24" t="s">
        <v>133</v>
      </c>
      <c r="D142" s="90">
        <f>D141*D149/D148</f>
        <v>0.11697130869815917</v>
      </c>
      <c r="E142" s="90">
        <f>'Standard Error Calculations'!D110</f>
        <v>1.4033422937902416E-2</v>
      </c>
      <c r="F142" s="52"/>
      <c r="G142" s="75"/>
      <c r="H142" s="14" t="s">
        <v>67</v>
      </c>
      <c r="I142" s="52" t="s">
        <v>250</v>
      </c>
      <c r="J142" s="52" t="s">
        <v>9</v>
      </c>
      <c r="K142" s="9" t="s">
        <v>229</v>
      </c>
    </row>
    <row r="143" spans="1:11" ht="16.25" customHeight="1">
      <c r="A143" s="5" t="s">
        <v>69</v>
      </c>
      <c r="B143" s="14" t="s">
        <v>159</v>
      </c>
      <c r="C143" s="14" t="s">
        <v>133</v>
      </c>
      <c r="D143" s="94">
        <f>D132/(D131*(1+D110*D164))</f>
        <v>2701.6517702400129</v>
      </c>
      <c r="E143" s="94">
        <f>'Standard Error Calculations'!D111</f>
        <v>233.3379871057258</v>
      </c>
      <c r="F143" s="34"/>
      <c r="G143" s="75"/>
      <c r="H143" s="14" t="s">
        <v>396</v>
      </c>
      <c r="I143" s="52" t="s">
        <v>249</v>
      </c>
      <c r="J143" s="52" t="s">
        <v>9</v>
      </c>
      <c r="K143" s="9" t="s">
        <v>535</v>
      </c>
    </row>
    <row r="144" spans="1:11" ht="16.25" customHeight="1">
      <c r="A144" s="5" t="s">
        <v>244</v>
      </c>
      <c r="B144" s="14" t="s">
        <v>71</v>
      </c>
      <c r="C144" s="14" t="s">
        <v>133</v>
      </c>
      <c r="D144" s="94">
        <f>D143/D148</f>
        <v>72042.021603935107</v>
      </c>
      <c r="E144" s="94">
        <f>'Standard Error Calculations'!D112</f>
        <v>6222.1713742907832</v>
      </c>
      <c r="F144" s="34"/>
      <c r="G144" s="75"/>
      <c r="H144" s="14" t="s">
        <v>68</v>
      </c>
      <c r="I144" s="52" t="s">
        <v>250</v>
      </c>
      <c r="J144" s="52" t="s">
        <v>9</v>
      </c>
      <c r="K144" s="9" t="s">
        <v>136</v>
      </c>
    </row>
    <row r="145" spans="1:11" ht="16.25" customHeight="1">
      <c r="A145" s="5" t="s">
        <v>703</v>
      </c>
      <c r="B145" s="14" t="s">
        <v>70</v>
      </c>
      <c r="C145" s="14" t="s">
        <v>133</v>
      </c>
      <c r="D145" s="94">
        <f>0.05*D144</f>
        <v>3602.1010801967554</v>
      </c>
      <c r="E145" s="94">
        <f>'Standard Error Calculations'!D113</f>
        <v>311.10856871453916</v>
      </c>
      <c r="F145" s="34"/>
      <c r="G145" s="75"/>
      <c r="H145" s="14" t="s">
        <v>396</v>
      </c>
      <c r="I145" s="52" t="s">
        <v>249</v>
      </c>
      <c r="J145" s="52" t="s">
        <v>9</v>
      </c>
      <c r="K145" s="9" t="s">
        <v>230</v>
      </c>
    </row>
    <row r="146" spans="1:11" ht="16.25" customHeight="1">
      <c r="G146" s="75"/>
    </row>
    <row r="147" spans="1:11" ht="16.25" customHeight="1">
      <c r="A147" s="7" t="s">
        <v>286</v>
      </c>
      <c r="B147" s="15" t="s">
        <v>1</v>
      </c>
      <c r="C147" s="15" t="s">
        <v>2</v>
      </c>
      <c r="D147" s="15" t="s">
        <v>3</v>
      </c>
      <c r="E147" s="15" t="s">
        <v>4</v>
      </c>
      <c r="F147" s="15"/>
      <c r="G147" s="75"/>
      <c r="H147" s="15" t="s">
        <v>5</v>
      </c>
      <c r="I147" s="15" t="s">
        <v>6</v>
      </c>
      <c r="J147" s="15" t="s">
        <v>559</v>
      </c>
      <c r="K147" s="50" t="s">
        <v>7</v>
      </c>
    </row>
    <row r="148" spans="1:11" ht="16.25" customHeight="1">
      <c r="A148" s="5" t="s">
        <v>103</v>
      </c>
      <c r="B148" s="14" t="s">
        <v>134</v>
      </c>
      <c r="C148" s="14" t="s">
        <v>133</v>
      </c>
      <c r="D148" s="95">
        <f>D15+D16*D108+D161/D163</f>
        <v>3.7501054385909158E-2</v>
      </c>
      <c r="E148" s="14" t="s">
        <v>225</v>
      </c>
      <c r="G148" s="75"/>
      <c r="H148" s="14" t="s">
        <v>37</v>
      </c>
      <c r="I148" s="14" t="s">
        <v>9</v>
      </c>
      <c r="J148" s="52" t="s">
        <v>9</v>
      </c>
      <c r="K148" s="9" t="s">
        <v>259</v>
      </c>
    </row>
    <row r="149" spans="1:11" ht="16.25" customHeight="1">
      <c r="A149" s="5" t="s">
        <v>104</v>
      </c>
      <c r="B149" s="14" t="s">
        <v>135</v>
      </c>
      <c r="C149" s="14" t="s">
        <v>133</v>
      </c>
      <c r="D149" s="95">
        <f>D17+D18*D108+D162*D109+D19/D163</f>
        <v>0.19220014427173213</v>
      </c>
      <c r="E149" s="14" t="s">
        <v>225</v>
      </c>
      <c r="G149" s="75"/>
      <c r="H149" s="14" t="s">
        <v>42</v>
      </c>
      <c r="I149" s="14" t="s">
        <v>9</v>
      </c>
      <c r="J149" s="52" t="s">
        <v>9</v>
      </c>
      <c r="K149" s="9" t="s">
        <v>260</v>
      </c>
    </row>
    <row r="150" spans="1:11" s="47" customFormat="1" ht="16.25" customHeight="1">
      <c r="A150" s="5" t="s">
        <v>704</v>
      </c>
      <c r="B150" s="14" t="s">
        <v>168</v>
      </c>
      <c r="C150" s="14" t="s">
        <v>133</v>
      </c>
      <c r="D150" s="96">
        <f>D111*D160</f>
        <v>0</v>
      </c>
      <c r="E150" s="14" t="s">
        <v>225</v>
      </c>
      <c r="F150" s="14"/>
      <c r="G150" s="75"/>
      <c r="H150" s="14" t="s">
        <v>31</v>
      </c>
      <c r="I150" s="14" t="s">
        <v>9</v>
      </c>
      <c r="J150" s="52" t="s">
        <v>9</v>
      </c>
      <c r="K150" s="47" t="s">
        <v>288</v>
      </c>
    </row>
    <row r="151" spans="1:11" ht="16.25" customHeight="1">
      <c r="A151" s="5" t="s">
        <v>463</v>
      </c>
      <c r="B151" s="14" t="s">
        <v>169</v>
      </c>
      <c r="C151" s="14" t="s">
        <v>133</v>
      </c>
      <c r="D151" s="96">
        <f>(D132*D150+(D137/(D137+D138+D140))*D13*D12)/(D134+D135*((D138+D140)/(D137+D138+D140))+D23+D136)</f>
        <v>1.0361555821243513E-3</v>
      </c>
      <c r="E151" s="14" t="s">
        <v>225</v>
      </c>
      <c r="G151" s="75"/>
      <c r="H151" s="14" t="s">
        <v>397</v>
      </c>
      <c r="I151" s="14" t="s">
        <v>9</v>
      </c>
      <c r="J151" s="52" t="s">
        <v>9</v>
      </c>
      <c r="K151" s="9" t="s">
        <v>261</v>
      </c>
    </row>
    <row r="152" spans="1:11" ht="16.25" customHeight="1">
      <c r="A152" s="5" t="s">
        <v>705</v>
      </c>
      <c r="B152" s="14" t="s">
        <v>170</v>
      </c>
      <c r="C152" s="14" t="s">
        <v>133</v>
      </c>
      <c r="D152" s="93">
        <f>D157/D155</f>
        <v>2.0200473350899407E-2</v>
      </c>
      <c r="E152" s="14" t="s">
        <v>225</v>
      </c>
      <c r="G152" s="75"/>
      <c r="H152" s="14" t="s">
        <v>74</v>
      </c>
      <c r="I152" s="14" t="s">
        <v>9</v>
      </c>
      <c r="J152" s="52" t="s">
        <v>9</v>
      </c>
      <c r="K152" s="9" t="s">
        <v>171</v>
      </c>
    </row>
    <row r="153" spans="1:11" ht="16.25" customHeight="1">
      <c r="A153" s="5" t="s">
        <v>706</v>
      </c>
      <c r="B153" s="14" t="s">
        <v>172</v>
      </c>
      <c r="C153" s="14" t="s">
        <v>133</v>
      </c>
      <c r="D153" s="93">
        <f>D151/D148</f>
        <v>2.7630038650691427E-2</v>
      </c>
      <c r="E153" s="14" t="s">
        <v>225</v>
      </c>
      <c r="G153" s="75"/>
      <c r="H153" s="14" t="s">
        <v>75</v>
      </c>
      <c r="I153" s="14" t="s">
        <v>9</v>
      </c>
      <c r="J153" s="52" t="s">
        <v>9</v>
      </c>
      <c r="K153" s="9" t="s">
        <v>173</v>
      </c>
    </row>
    <row r="154" spans="1:11" ht="16.25" customHeight="1">
      <c r="A154" s="5" t="s">
        <v>253</v>
      </c>
      <c r="B154" s="14" t="s">
        <v>174</v>
      </c>
      <c r="C154" s="14" t="s">
        <v>133</v>
      </c>
      <c r="D154" s="93">
        <f>D12/D149</f>
        <v>0.23621210156748679</v>
      </c>
      <c r="E154" s="14" t="s">
        <v>225</v>
      </c>
      <c r="G154" s="75"/>
      <c r="H154" s="14" t="s">
        <v>75</v>
      </c>
      <c r="I154" s="14" t="s">
        <v>9</v>
      </c>
      <c r="J154" s="52" t="s">
        <v>9</v>
      </c>
      <c r="K154" s="9" t="s">
        <v>175</v>
      </c>
    </row>
    <row r="155" spans="1:11" ht="16.25" customHeight="1">
      <c r="A155" s="5" t="s">
        <v>76</v>
      </c>
      <c r="B155" s="14" t="s">
        <v>160</v>
      </c>
      <c r="C155" s="14" t="s">
        <v>133</v>
      </c>
      <c r="D155" s="96">
        <f>D167/D170</f>
        <v>2.0299999999999999E-5</v>
      </c>
      <c r="E155" s="14" t="s">
        <v>225</v>
      </c>
      <c r="G155" s="75"/>
      <c r="H155" s="14" t="s">
        <v>30</v>
      </c>
      <c r="I155" s="14" t="s">
        <v>9</v>
      </c>
      <c r="J155" s="52" t="s">
        <v>9</v>
      </c>
      <c r="K155" s="9" t="s">
        <v>176</v>
      </c>
    </row>
    <row r="156" spans="1:11" ht="16.25" customHeight="1">
      <c r="A156" s="5" t="s">
        <v>77</v>
      </c>
      <c r="B156" s="14" t="s">
        <v>177</v>
      </c>
      <c r="C156" s="14" t="s">
        <v>133</v>
      </c>
      <c r="D156" s="96">
        <f>D151*D11</f>
        <v>1.4506178149740919E-6</v>
      </c>
      <c r="E156" s="14" t="s">
        <v>225</v>
      </c>
      <c r="G156" s="75"/>
      <c r="H156" s="14" t="s">
        <v>78</v>
      </c>
      <c r="I156" s="14" t="s">
        <v>9</v>
      </c>
      <c r="J156" s="52" t="s">
        <v>9</v>
      </c>
      <c r="K156" s="9" t="s">
        <v>262</v>
      </c>
    </row>
    <row r="157" spans="1:11" ht="16.25" customHeight="1">
      <c r="A157" s="5" t="s">
        <v>707</v>
      </c>
      <c r="B157" s="14" t="s">
        <v>178</v>
      </c>
      <c r="C157" s="14" t="s">
        <v>133</v>
      </c>
      <c r="D157" s="96">
        <f>(D167*D12+D135*D156)/(D137+D138+D140)</f>
        <v>4.1006960902325797E-7</v>
      </c>
      <c r="E157" s="14" t="s">
        <v>225</v>
      </c>
      <c r="G157" s="75"/>
      <c r="H157" s="14" t="s">
        <v>78</v>
      </c>
      <c r="I157" s="14" t="s">
        <v>9</v>
      </c>
      <c r="J157" s="52" t="s">
        <v>9</v>
      </c>
      <c r="K157" s="9" t="s">
        <v>263</v>
      </c>
    </row>
    <row r="158" spans="1:11" s="35" customFormat="1" ht="16.25" customHeight="1">
      <c r="A158" s="5" t="s">
        <v>138</v>
      </c>
      <c r="B158" s="14" t="s">
        <v>179</v>
      </c>
      <c r="C158" s="14" t="s">
        <v>133</v>
      </c>
      <c r="D158" s="93">
        <f>IF(AND(D136=0,D140=0),"NA",D136*D156/(D136*D156+D140*D157))</f>
        <v>0.16221522008503275</v>
      </c>
      <c r="E158" s="14" t="s">
        <v>225</v>
      </c>
      <c r="F158" s="14"/>
      <c r="G158" s="75"/>
      <c r="H158" s="14" t="s">
        <v>12</v>
      </c>
      <c r="I158" s="14" t="s">
        <v>9</v>
      </c>
      <c r="J158" s="52" t="s">
        <v>9</v>
      </c>
      <c r="K158" s="80" t="s">
        <v>264</v>
      </c>
    </row>
    <row r="159" spans="1:11" s="35" customFormat="1" ht="16.25" customHeight="1">
      <c r="A159" s="5" t="s">
        <v>139</v>
      </c>
      <c r="B159" s="14" t="s">
        <v>180</v>
      </c>
      <c r="C159" s="14" t="s">
        <v>133</v>
      </c>
      <c r="D159" s="93">
        <f>IF(AND(D136=0,D140=0),"NA",D140*D157/(D136*D156+D140*D157))</f>
        <v>0.83778477991496725</v>
      </c>
      <c r="E159" s="14" t="s">
        <v>225</v>
      </c>
      <c r="F159" s="14"/>
      <c r="G159" s="75"/>
      <c r="H159" s="14" t="s">
        <v>12</v>
      </c>
      <c r="I159" s="14" t="s">
        <v>9</v>
      </c>
      <c r="J159" s="52" t="s">
        <v>9</v>
      </c>
      <c r="K159" s="80" t="s">
        <v>265</v>
      </c>
    </row>
    <row r="160" spans="1:11" s="47" customFormat="1" ht="16.25" customHeight="1">
      <c r="A160" s="5" t="s">
        <v>708</v>
      </c>
      <c r="B160" s="24" t="s">
        <v>287</v>
      </c>
      <c r="C160" s="24" t="s">
        <v>133</v>
      </c>
      <c r="D160" s="92">
        <f>1/(1+D110*D164)</f>
        <v>0.94397394990567929</v>
      </c>
      <c r="E160" s="66" t="s">
        <v>9</v>
      </c>
      <c r="F160" s="66"/>
      <c r="G160" s="75"/>
      <c r="H160" s="24" t="s">
        <v>12</v>
      </c>
      <c r="I160" s="14" t="s">
        <v>9</v>
      </c>
      <c r="J160" s="52" t="s">
        <v>9</v>
      </c>
      <c r="K160" s="9" t="s">
        <v>317</v>
      </c>
    </row>
    <row r="161" spans="1:11" s="35" customFormat="1" ht="16.25" customHeight="1">
      <c r="A161" s="5" t="s">
        <v>709</v>
      </c>
      <c r="B161" s="14" t="s">
        <v>256</v>
      </c>
      <c r="C161" s="14" t="s">
        <v>133</v>
      </c>
      <c r="D161" s="95">
        <f>1-D15-D16</f>
        <v>0.877</v>
      </c>
      <c r="E161" s="81" t="s">
        <v>225</v>
      </c>
      <c r="F161" s="81"/>
      <c r="G161" s="75"/>
      <c r="H161" s="14" t="s">
        <v>39</v>
      </c>
      <c r="I161" s="14" t="s">
        <v>9</v>
      </c>
      <c r="J161" s="52" t="s">
        <v>9</v>
      </c>
      <c r="K161" s="9" t="s">
        <v>257</v>
      </c>
    </row>
    <row r="162" spans="1:11" s="35" customFormat="1" ht="16.25" customHeight="1">
      <c r="A162" s="5" t="s">
        <v>710</v>
      </c>
      <c r="B162" s="14" t="s">
        <v>46</v>
      </c>
      <c r="C162" s="24" t="s">
        <v>133</v>
      </c>
      <c r="D162" s="97">
        <f>1-D17-D18-D19</f>
        <v>0.17399999999999993</v>
      </c>
      <c r="E162" s="81" t="s">
        <v>225</v>
      </c>
      <c r="F162" s="81"/>
      <c r="G162" s="75"/>
      <c r="H162" s="14" t="s">
        <v>101</v>
      </c>
      <c r="I162" s="14" t="s">
        <v>9</v>
      </c>
      <c r="J162" s="52" t="s">
        <v>9</v>
      </c>
      <c r="K162" s="9" t="s">
        <v>258</v>
      </c>
    </row>
    <row r="163" spans="1:11" ht="16.25" customHeight="1">
      <c r="A163" s="5" t="s">
        <v>82</v>
      </c>
      <c r="B163" s="14" t="s">
        <v>106</v>
      </c>
      <c r="C163" s="14" t="s">
        <v>133</v>
      </c>
      <c r="D163" s="96">
        <f>10^D5</f>
        <v>831763.77110267128</v>
      </c>
      <c r="E163" s="14" t="s">
        <v>225</v>
      </c>
      <c r="G163" s="75"/>
      <c r="H163" s="14" t="s">
        <v>12</v>
      </c>
      <c r="I163" s="14" t="s">
        <v>9</v>
      </c>
      <c r="J163" s="52" t="s">
        <v>9</v>
      </c>
      <c r="K163" s="9" t="s">
        <v>166</v>
      </c>
    </row>
    <row r="164" spans="1:11" ht="16.25" customHeight="1">
      <c r="A164" s="5" t="s">
        <v>464</v>
      </c>
      <c r="B164" s="14" t="s">
        <v>107</v>
      </c>
      <c r="C164" s="14" t="s">
        <v>133</v>
      </c>
      <c r="D164" s="96">
        <f>10^D103</f>
        <v>29675.633580735339</v>
      </c>
      <c r="E164" s="14" t="s">
        <v>225</v>
      </c>
      <c r="G164" s="75"/>
      <c r="H164" s="14" t="s">
        <v>12</v>
      </c>
      <c r="I164" s="14" t="s">
        <v>9</v>
      </c>
      <c r="J164" s="52" t="s">
        <v>9</v>
      </c>
      <c r="K164" s="9" t="s">
        <v>167</v>
      </c>
    </row>
    <row r="165" spans="1:11" ht="16.25" customHeight="1">
      <c r="A165" s="5" t="s">
        <v>83</v>
      </c>
      <c r="B165" s="14" t="s">
        <v>108</v>
      </c>
      <c r="C165" s="14" t="s">
        <v>133</v>
      </c>
      <c r="D165" s="96">
        <f>D15*D163/D114+D16*D108*D163/D115+D161/D117</f>
        <v>33566.863063350967</v>
      </c>
      <c r="E165" s="14" t="s">
        <v>225</v>
      </c>
      <c r="G165" s="75"/>
      <c r="H165" s="14" t="s">
        <v>314</v>
      </c>
      <c r="I165" s="14" t="s">
        <v>9</v>
      </c>
      <c r="J165" s="52" t="s">
        <v>9</v>
      </c>
      <c r="K165" s="9" t="s">
        <v>266</v>
      </c>
    </row>
    <row r="166" spans="1:11" ht="16.25" customHeight="1">
      <c r="A166" s="5" t="s">
        <v>711</v>
      </c>
      <c r="B166" s="14" t="s">
        <v>109</v>
      </c>
      <c r="C166" s="14" t="s">
        <v>133</v>
      </c>
      <c r="D166" s="96">
        <f>(D113*(D177/D114+D178*D108/D115+D179*D109/D116+D180/(D163*D117)))/(D112*(D15/D114+D16*D108/D115+D161/(D163*D117)))</f>
        <v>1.7187111103865036</v>
      </c>
      <c r="E166" s="14" t="s">
        <v>225</v>
      </c>
      <c r="G166" s="75"/>
      <c r="H166" s="14" t="s">
        <v>12</v>
      </c>
      <c r="I166" s="14" t="s">
        <v>9</v>
      </c>
      <c r="J166" s="52" t="s">
        <v>9</v>
      </c>
      <c r="K166" s="9" t="s">
        <v>267</v>
      </c>
    </row>
    <row r="167" spans="1:11" ht="16.25" customHeight="1">
      <c r="A167" s="5" t="s">
        <v>84</v>
      </c>
      <c r="B167" s="14" t="s">
        <v>110</v>
      </c>
      <c r="C167" s="14" t="s">
        <v>133</v>
      </c>
      <c r="D167" s="96">
        <f>D13*D11</f>
        <v>4.1999999999999998E-5</v>
      </c>
      <c r="E167" s="14" t="s">
        <v>225</v>
      </c>
      <c r="G167" s="75"/>
      <c r="H167" s="14" t="s">
        <v>85</v>
      </c>
      <c r="I167" s="14" t="s">
        <v>9</v>
      </c>
      <c r="J167" s="52" t="s">
        <v>9</v>
      </c>
      <c r="K167" s="9" t="s">
        <v>137</v>
      </c>
    </row>
    <row r="168" spans="1:11" ht="16.25" customHeight="1">
      <c r="A168" s="5" t="s">
        <v>86</v>
      </c>
      <c r="B168" s="14" t="s">
        <v>111</v>
      </c>
      <c r="C168" s="14" t="s">
        <v>133</v>
      </c>
      <c r="D168" s="96">
        <f>IF(D22="NA",((1-D171)*D17+(1-D172)*D18+(1-D173)*D162+(1-D174)*D19)*D167,(1-D22*D175/D176)*D167)</f>
        <v>1.6127159999999998E-5</v>
      </c>
      <c r="E168" s="14" t="s">
        <v>225</v>
      </c>
      <c r="G168" s="75"/>
      <c r="H168" s="14" t="s">
        <v>87</v>
      </c>
      <c r="I168" s="14" t="s">
        <v>9</v>
      </c>
      <c r="J168" s="52" t="s">
        <v>9</v>
      </c>
      <c r="K168" s="9" t="s">
        <v>231</v>
      </c>
    </row>
    <row r="169" spans="1:11" ht="16.25" customHeight="1">
      <c r="A169" s="5" t="s">
        <v>88</v>
      </c>
      <c r="B169" s="14" t="s">
        <v>112</v>
      </c>
      <c r="C169" s="24" t="s">
        <v>14</v>
      </c>
      <c r="D169" s="63">
        <v>1.45</v>
      </c>
      <c r="E169" s="14" t="s">
        <v>225</v>
      </c>
      <c r="G169" s="75"/>
      <c r="H169" s="14" t="s">
        <v>89</v>
      </c>
      <c r="I169" s="64">
        <v>1.45</v>
      </c>
      <c r="J169" s="52" t="s">
        <v>9</v>
      </c>
      <c r="K169" s="9" t="s">
        <v>561</v>
      </c>
    </row>
    <row r="170" spans="1:11" ht="16.25" customHeight="1">
      <c r="A170" s="5" t="s">
        <v>90</v>
      </c>
      <c r="B170" s="14" t="s">
        <v>91</v>
      </c>
      <c r="C170" s="14" t="s">
        <v>133</v>
      </c>
      <c r="D170" s="95">
        <f>3/D169</f>
        <v>2.0689655172413794</v>
      </c>
      <c r="E170" s="14" t="s">
        <v>225</v>
      </c>
      <c r="G170" s="75"/>
      <c r="H170" s="14" t="s">
        <v>22</v>
      </c>
      <c r="I170" s="14" t="s">
        <v>9</v>
      </c>
      <c r="J170" s="52" t="s">
        <v>9</v>
      </c>
      <c r="K170" s="82" t="s">
        <v>186</v>
      </c>
    </row>
    <row r="171" spans="1:11" ht="16.25" customHeight="1">
      <c r="A171" s="5" t="s">
        <v>92</v>
      </c>
      <c r="B171" s="14" t="s">
        <v>113</v>
      </c>
      <c r="C171" s="24" t="s">
        <v>14</v>
      </c>
      <c r="D171" s="63">
        <v>0.92</v>
      </c>
      <c r="E171" s="14" t="s">
        <v>225</v>
      </c>
      <c r="G171" s="75"/>
      <c r="H171" s="14" t="s">
        <v>12</v>
      </c>
      <c r="I171" s="64">
        <v>0.92</v>
      </c>
      <c r="J171" s="52" t="s">
        <v>9</v>
      </c>
      <c r="K171" s="9" t="s">
        <v>562</v>
      </c>
    </row>
    <row r="172" spans="1:11" ht="16.25" customHeight="1">
      <c r="A172" s="5" t="s">
        <v>94</v>
      </c>
      <c r="B172" s="14" t="s">
        <v>114</v>
      </c>
      <c r="C172" s="24" t="s">
        <v>14</v>
      </c>
      <c r="D172" s="63">
        <v>0.75</v>
      </c>
      <c r="E172" s="14" t="s">
        <v>225</v>
      </c>
      <c r="G172" s="75"/>
      <c r="H172" s="14" t="s">
        <v>12</v>
      </c>
      <c r="I172" s="64">
        <v>0.75</v>
      </c>
      <c r="J172" s="52" t="s">
        <v>9</v>
      </c>
      <c r="K172" s="9" t="s">
        <v>93</v>
      </c>
    </row>
    <row r="173" spans="1:11" ht="16.25" customHeight="1">
      <c r="A173" s="5" t="s">
        <v>95</v>
      </c>
      <c r="B173" s="14" t="s">
        <v>115</v>
      </c>
      <c r="C173" s="24" t="s">
        <v>14</v>
      </c>
      <c r="D173" s="63">
        <v>0</v>
      </c>
      <c r="E173" s="14" t="s">
        <v>225</v>
      </c>
      <c r="G173" s="75"/>
      <c r="H173" s="14" t="s">
        <v>12</v>
      </c>
      <c r="I173" s="14">
        <v>0</v>
      </c>
      <c r="J173" s="52" t="s">
        <v>9</v>
      </c>
      <c r="K173" s="9" t="s">
        <v>93</v>
      </c>
    </row>
    <row r="174" spans="1:11" ht="16.25" customHeight="1">
      <c r="A174" s="5" t="s">
        <v>96</v>
      </c>
      <c r="B174" s="14" t="s">
        <v>116</v>
      </c>
      <c r="C174" s="24" t="s">
        <v>14</v>
      </c>
      <c r="D174" s="63">
        <v>0.5</v>
      </c>
      <c r="E174" s="14" t="s">
        <v>225</v>
      </c>
      <c r="G174" s="75"/>
      <c r="H174" s="14" t="s">
        <v>12</v>
      </c>
      <c r="I174" s="64">
        <v>0.5</v>
      </c>
      <c r="J174" s="52" t="s">
        <v>9</v>
      </c>
      <c r="K174" s="9" t="s">
        <v>93</v>
      </c>
    </row>
    <row r="175" spans="1:11" s="35" customFormat="1" ht="16.25" customHeight="1">
      <c r="A175" s="5" t="s">
        <v>161</v>
      </c>
      <c r="B175" s="14" t="s">
        <v>187</v>
      </c>
      <c r="C175" s="14" t="s">
        <v>133</v>
      </c>
      <c r="D175" s="93">
        <f>D171*D17+D172*D18+D173*D162+D174*D19</f>
        <v>0.61602000000000001</v>
      </c>
      <c r="E175" s="14" t="s">
        <v>225</v>
      </c>
      <c r="F175" s="14"/>
      <c r="G175" s="75"/>
      <c r="H175" s="14" t="s">
        <v>12</v>
      </c>
      <c r="I175" s="14" t="s">
        <v>9</v>
      </c>
      <c r="J175" s="52" t="s">
        <v>9</v>
      </c>
      <c r="K175" s="9" t="s">
        <v>268</v>
      </c>
    </row>
    <row r="176" spans="1:11" s="35" customFormat="1" ht="16.25" customHeight="1">
      <c r="A176" s="5" t="s">
        <v>162</v>
      </c>
      <c r="B176" s="14" t="s">
        <v>188</v>
      </c>
      <c r="C176" s="14" t="s">
        <v>133</v>
      </c>
      <c r="D176" s="93">
        <f>D171*D17+D172*D18+D173*D162</f>
        <v>0.55602000000000007</v>
      </c>
      <c r="E176" s="14" t="s">
        <v>225</v>
      </c>
      <c r="F176" s="14"/>
      <c r="G176" s="75"/>
      <c r="H176" s="14" t="s">
        <v>12</v>
      </c>
      <c r="I176" s="14" t="s">
        <v>9</v>
      </c>
      <c r="J176" s="52" t="s">
        <v>9</v>
      </c>
      <c r="K176" s="9" t="s">
        <v>269</v>
      </c>
    </row>
    <row r="177" spans="1:11" ht="16.25" customHeight="1">
      <c r="A177" s="5" t="s">
        <v>712</v>
      </c>
      <c r="B177" s="14" t="s">
        <v>117</v>
      </c>
      <c r="C177" s="24" t="s">
        <v>133</v>
      </c>
      <c r="D177" s="95">
        <f>((1-D171)*D17)/((1-D171)*D17+(1-D172)*D18+(1-D173)*D162+(1-D174)*D19)</f>
        <v>3.2501692796499809E-2</v>
      </c>
      <c r="E177" s="14" t="s">
        <v>225</v>
      </c>
      <c r="G177" s="75"/>
      <c r="H177" s="14" t="s">
        <v>97</v>
      </c>
      <c r="I177" s="14" t="s">
        <v>9</v>
      </c>
      <c r="J177" s="52" t="s">
        <v>9</v>
      </c>
      <c r="K177" s="9" t="s">
        <v>118</v>
      </c>
    </row>
    <row r="178" spans="1:11" ht="16.25" customHeight="1">
      <c r="A178" s="5" t="s">
        <v>713</v>
      </c>
      <c r="B178" s="14" t="s">
        <v>119</v>
      </c>
      <c r="C178" s="24" t="s">
        <v>133</v>
      </c>
      <c r="D178" s="95">
        <f>((1-D172)*D18)/((1-D171)*D17+(1-D172)*D18+(1-D173)*D162+(1-D174)*D19)</f>
        <v>0.35809156726912872</v>
      </c>
      <c r="E178" s="14" t="s">
        <v>225</v>
      </c>
      <c r="G178" s="75"/>
      <c r="H178" s="14" t="s">
        <v>98</v>
      </c>
      <c r="I178" s="14" t="s">
        <v>9</v>
      </c>
      <c r="J178" s="52" t="s">
        <v>9</v>
      </c>
      <c r="K178" s="9" t="s">
        <v>120</v>
      </c>
    </row>
    <row r="179" spans="1:11" ht="16.25" customHeight="1">
      <c r="A179" s="5" t="s">
        <v>714</v>
      </c>
      <c r="B179" s="14" t="s">
        <v>121</v>
      </c>
      <c r="C179" s="24" t="s">
        <v>133</v>
      </c>
      <c r="D179" s="95">
        <f>((1-D173)*D162)/((1-D171)*D17+(1-D172)*D18+(1-D173)*D162+(1-D174)*D19)</f>
        <v>0.4531486014896608</v>
      </c>
      <c r="E179" s="14" t="s">
        <v>225</v>
      </c>
      <c r="G179" s="75"/>
      <c r="H179" s="14" t="s">
        <v>99</v>
      </c>
      <c r="I179" s="14" t="s">
        <v>9</v>
      </c>
      <c r="J179" s="52" t="s">
        <v>9</v>
      </c>
      <c r="K179" s="9" t="s">
        <v>122</v>
      </c>
    </row>
    <row r="180" spans="1:11" ht="16.25" customHeight="1">
      <c r="A180" s="5" t="s">
        <v>715</v>
      </c>
      <c r="B180" s="14" t="s">
        <v>123</v>
      </c>
      <c r="C180" s="24" t="s">
        <v>133</v>
      </c>
      <c r="D180" s="95">
        <f>((1-D174)*D19)/((1-D171)*D17+(1-D172)*D18+(1-D173)*D162+(1-D174)*D19)</f>
        <v>0.15625813844471068</v>
      </c>
      <c r="E180" s="14" t="s">
        <v>225</v>
      </c>
      <c r="G180" s="75"/>
      <c r="H180" s="14" t="s">
        <v>100</v>
      </c>
      <c r="I180" s="14" t="s">
        <v>9</v>
      </c>
      <c r="J180" s="52" t="s">
        <v>9</v>
      </c>
      <c r="K180" s="9" t="s">
        <v>124</v>
      </c>
    </row>
    <row r="181" spans="1:11" s="83" customFormat="1" ht="16.25" customHeight="1">
      <c r="A181" s="10"/>
      <c r="C181" s="59"/>
      <c r="D181" s="84"/>
      <c r="E181" s="84"/>
      <c r="F181" s="84"/>
      <c r="G181" s="75"/>
      <c r="H181" s="59"/>
      <c r="I181" s="59"/>
      <c r="J181" s="59"/>
    </row>
    <row r="182" spans="1:11" ht="16.25" customHeight="1">
      <c r="G182" s="75"/>
    </row>
    <row r="183" spans="1:11" ht="16.25" customHeight="1">
      <c r="G183" s="75"/>
    </row>
    <row r="184" spans="1:11" ht="16.25" customHeight="1">
      <c r="G184" s="75"/>
    </row>
    <row r="185" spans="1:11" ht="16.25" customHeight="1">
      <c r="G185" s="75"/>
    </row>
    <row r="186" spans="1:11" ht="16.25" customHeight="1">
      <c r="G186" s="75"/>
    </row>
    <row r="187" spans="1:11" ht="16.25" customHeight="1">
      <c r="G187" s="75"/>
    </row>
    <row r="188" spans="1:11" ht="16.25" customHeight="1">
      <c r="G188" s="75"/>
    </row>
    <row r="189" spans="1:11" ht="16.25" customHeight="1">
      <c r="G189" s="75"/>
    </row>
    <row r="190" spans="1:11" ht="16.25" customHeight="1">
      <c r="G190" s="75"/>
    </row>
    <row r="191" spans="1:11" ht="16.25" customHeight="1">
      <c r="G191" s="75"/>
    </row>
    <row r="192" spans="1:11" ht="16.25" customHeight="1">
      <c r="G192" s="75"/>
    </row>
    <row r="193" spans="7:7" ht="16.25" customHeight="1">
      <c r="G193" s="75"/>
    </row>
    <row r="194" spans="7:7" ht="16.25" customHeight="1">
      <c r="G194" s="75"/>
    </row>
    <row r="195" spans="7:7" ht="16.25" customHeight="1">
      <c r="G195" s="75"/>
    </row>
    <row r="196" spans="7:7" ht="16.25" customHeight="1">
      <c r="G196" s="75"/>
    </row>
  </sheetData>
  <sheetProtection algorithmName="SHA-512" hashValue="I/htDxoOPS4gD14f+CrFat0t/cQaUo5dLtdntWyFt31xuLOlB6YuNtNTC9eVSCTpUW/32nrT2RaMOQwvfidQSw==" saltValue="YupBMeu3pWhXttxBTQAurA==" spinCount="100000" sheet="1" objects="1" scenarios="1"/>
  <phoneticPr fontId="23" type="noConversion"/>
  <conditionalFormatting sqref="D120">
    <cfRule type="expression" dxfId="6" priority="7">
      <formula>$C$120="Enter"</formula>
    </cfRule>
  </conditionalFormatting>
  <conditionalFormatting sqref="E120">
    <cfRule type="expression" dxfId="5" priority="6">
      <formula>$C$120="Enter"</formula>
    </cfRule>
  </conditionalFormatting>
  <conditionalFormatting sqref="D121">
    <cfRule type="expression" dxfId="4" priority="5">
      <formula>$C$121="Enter"</formula>
    </cfRule>
  </conditionalFormatting>
  <conditionalFormatting sqref="E121">
    <cfRule type="expression" dxfId="3" priority="4">
      <formula>$C$121="Enter"</formula>
    </cfRule>
  </conditionalFormatting>
  <conditionalFormatting sqref="D122">
    <cfRule type="expression" dxfId="2" priority="3">
      <formula>$C$122="Enter"</formula>
    </cfRule>
  </conditionalFormatting>
  <conditionalFormatting sqref="D123">
    <cfRule type="expression" dxfId="1" priority="2">
      <formula>$C$123="Enter"</formula>
    </cfRule>
  </conditionalFormatting>
  <conditionalFormatting sqref="D124">
    <cfRule type="expression" dxfId="0" priority="1">
      <formula>$C$124="Enter"</formula>
    </cfRule>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Worksheet___3"/>
  <dimension ref="A1:O75"/>
  <sheetViews>
    <sheetView zoomScaleNormal="100" workbookViewId="0"/>
  </sheetViews>
  <sheetFormatPr baseColWidth="10" defaultColWidth="8.6640625" defaultRowHeight="14"/>
  <cols>
    <col min="1" max="1" width="43.33203125" style="99" customWidth="1"/>
    <col min="2" max="2" width="25.6640625" style="99" customWidth="1"/>
    <col min="3" max="3" width="11.33203125" style="100" customWidth="1"/>
    <col min="4" max="6" width="11.33203125" style="99" customWidth="1"/>
    <col min="7" max="7" width="4.6640625" style="99" customWidth="1"/>
    <col min="8" max="16384" width="8.6640625" style="99"/>
  </cols>
  <sheetData>
    <row r="1" spans="1:10" ht="19">
      <c r="A1" s="98" t="s">
        <v>308</v>
      </c>
    </row>
    <row r="3" spans="1:10">
      <c r="A3" s="99" t="s">
        <v>309</v>
      </c>
    </row>
    <row r="6" spans="1:10">
      <c r="A6" s="15" t="s">
        <v>238</v>
      </c>
      <c r="B6" s="15" t="s">
        <v>2</v>
      </c>
      <c r="C6" s="15" t="s">
        <v>3</v>
      </c>
      <c r="D6" s="15" t="s">
        <v>5</v>
      </c>
      <c r="F6" s="15" t="s">
        <v>239</v>
      </c>
    </row>
    <row r="7" spans="1:10" ht="16">
      <c r="A7" s="101" t="s">
        <v>233</v>
      </c>
      <c r="B7" s="24" t="s">
        <v>132</v>
      </c>
      <c r="C7" s="19">
        <v>1E-4</v>
      </c>
      <c r="D7" s="102" t="s">
        <v>34</v>
      </c>
      <c r="F7" s="100" t="s">
        <v>9</v>
      </c>
    </row>
    <row r="8" spans="1:10" ht="16">
      <c r="A8" s="101" t="s">
        <v>237</v>
      </c>
      <c r="B8" s="24" t="s">
        <v>132</v>
      </c>
      <c r="C8" s="103">
        <v>1E-8</v>
      </c>
      <c r="D8" s="104" t="s">
        <v>31</v>
      </c>
      <c r="F8" s="100" t="s">
        <v>9</v>
      </c>
    </row>
    <row r="9" spans="1:10" ht="16">
      <c r="A9" s="101" t="s">
        <v>234</v>
      </c>
      <c r="B9" s="24" t="s">
        <v>232</v>
      </c>
      <c r="C9" s="105">
        <f>C8*'Data Worksheet'!D160</f>
        <v>9.4397394990567926E-9</v>
      </c>
      <c r="D9" s="104" t="s">
        <v>31</v>
      </c>
      <c r="E9" s="106"/>
      <c r="F9" s="9" t="s">
        <v>318</v>
      </c>
      <c r="G9" s="40"/>
      <c r="H9" s="40"/>
      <c r="I9" s="40"/>
      <c r="J9" s="40"/>
    </row>
    <row r="10" spans="1:10" ht="16">
      <c r="A10" s="107" t="s">
        <v>163</v>
      </c>
      <c r="B10" s="100" t="s">
        <v>133</v>
      </c>
      <c r="C10" s="129">
        <f>('Data Worksheet'!D132*C9+('Data Worksheet'!D137/('Data Worksheet'!D137+'Data Worksheet'!D138+'Data Worksheet'!D140))*'Data Worksheet'!D13*C7)/('Data Worksheet'!D134+'Data Worksheet'!D135*(('Data Worksheet'!D138+'Data Worksheet'!D140)/('Data Worksheet'!D137+'Data Worksheet'!D138+'Data Worksheet'!D140))+'Data Worksheet'!D23+'Data Worksheet'!D136)</f>
        <v>2.9298798720295174E-5</v>
      </c>
      <c r="D10" s="104" t="s">
        <v>73</v>
      </c>
      <c r="E10" s="106"/>
      <c r="F10" s="101" t="s">
        <v>270</v>
      </c>
    </row>
    <row r="11" spans="1:10" ht="16">
      <c r="A11" s="107" t="s">
        <v>716</v>
      </c>
      <c r="B11" s="100" t="s">
        <v>133</v>
      </c>
      <c r="C11" s="129">
        <f>(('Data Worksheet'!D167*C7+'Data Worksheet'!D135*C10*'Data Worksheet'!D11)/('Data Worksheet'!D137+'Data Worksheet'!D138+'Data Worksheet'!D140))/'Data Worksheet'!D155</f>
        <v>5.3120068421362895E-5</v>
      </c>
      <c r="D11" s="104" t="s">
        <v>74</v>
      </c>
      <c r="E11" s="106"/>
      <c r="F11" s="101" t="s">
        <v>271</v>
      </c>
    </row>
    <row r="12" spans="1:10">
      <c r="A12" s="9" t="s">
        <v>310</v>
      </c>
      <c r="B12" s="28" t="s">
        <v>133</v>
      </c>
      <c r="C12" s="76" t="str">
        <f>IF(C8&gt;'Data Worksheet'!D6,"yes","No")</f>
        <v>No</v>
      </c>
      <c r="D12" s="104" t="s">
        <v>9</v>
      </c>
      <c r="E12" s="106"/>
      <c r="F12" s="109" t="s">
        <v>9</v>
      </c>
    </row>
    <row r="13" spans="1:10">
      <c r="A13" s="107"/>
      <c r="B13" s="100"/>
      <c r="C13" s="110"/>
      <c r="D13" s="104"/>
      <c r="E13" s="106"/>
      <c r="F13" s="101"/>
    </row>
    <row r="14" spans="1:10">
      <c r="A14" s="111" t="s">
        <v>240</v>
      </c>
      <c r="B14" s="101"/>
      <c r="C14" s="99"/>
      <c r="D14" s="112" t="s">
        <v>241</v>
      </c>
      <c r="E14" s="106"/>
      <c r="F14" s="106"/>
    </row>
    <row r="15" spans="1:10">
      <c r="B15" s="101"/>
      <c r="C15" s="99"/>
      <c r="F15" s="106"/>
    </row>
    <row r="16" spans="1:10">
      <c r="B16" s="101"/>
      <c r="F16" s="106"/>
    </row>
    <row r="17" spans="2:6">
      <c r="B17" s="101"/>
      <c r="F17" s="106"/>
    </row>
    <row r="18" spans="2:6">
      <c r="B18" s="101"/>
      <c r="F18" s="106"/>
    </row>
    <row r="19" spans="2:6">
      <c r="B19" s="101"/>
      <c r="F19" s="106"/>
    </row>
    <row r="20" spans="2:6">
      <c r="B20" s="101"/>
      <c r="F20" s="106"/>
    </row>
    <row r="21" spans="2:6">
      <c r="B21" s="101"/>
      <c r="F21" s="106"/>
    </row>
    <row r="22" spans="2:6">
      <c r="B22" s="101"/>
      <c r="F22" s="106"/>
    </row>
    <row r="23" spans="2:6">
      <c r="B23" s="101"/>
      <c r="F23" s="106"/>
    </row>
    <row r="24" spans="2:6">
      <c r="B24" s="101"/>
      <c r="F24" s="106"/>
    </row>
    <row r="25" spans="2:6">
      <c r="B25" s="101"/>
      <c r="F25" s="106"/>
    </row>
    <row r="26" spans="2:6">
      <c r="B26" s="101"/>
      <c r="F26" s="106"/>
    </row>
    <row r="27" spans="2:6">
      <c r="B27" s="101"/>
      <c r="F27" s="106"/>
    </row>
    <row r="28" spans="2:6">
      <c r="B28" s="101"/>
      <c r="F28" s="106"/>
    </row>
    <row r="29" spans="2:6">
      <c r="B29" s="101"/>
      <c r="F29" s="106"/>
    </row>
    <row r="30" spans="2:6">
      <c r="B30" s="101"/>
      <c r="F30" s="106"/>
    </row>
    <row r="31" spans="2:6">
      <c r="B31" s="101"/>
      <c r="F31" s="106"/>
    </row>
    <row r="32" spans="2:6">
      <c r="B32" s="101"/>
      <c r="F32" s="106"/>
    </row>
    <row r="33" spans="1:15">
      <c r="B33" s="101"/>
      <c r="F33" s="106"/>
    </row>
    <row r="34" spans="1:15">
      <c r="B34" s="101"/>
      <c r="F34" s="106"/>
    </row>
    <row r="35" spans="1:15">
      <c r="B35" s="101"/>
      <c r="F35" s="106"/>
    </row>
    <row r="36" spans="1:15">
      <c r="B36" s="101"/>
      <c r="F36" s="106"/>
    </row>
    <row r="37" spans="1:15">
      <c r="B37" s="101"/>
      <c r="F37" s="106"/>
    </row>
    <row r="38" spans="1:15" ht="16">
      <c r="A38" s="99" t="s">
        <v>205</v>
      </c>
      <c r="B38" s="101"/>
      <c r="C38" s="99" t="s">
        <v>205</v>
      </c>
      <c r="F38" s="106"/>
    </row>
    <row r="39" spans="1:15">
      <c r="B39" s="101"/>
      <c r="F39" s="106"/>
      <c r="O39" s="99" t="s">
        <v>242</v>
      </c>
    </row>
    <row r="40" spans="1:15">
      <c r="B40" s="101"/>
      <c r="F40" s="106"/>
    </row>
    <row r="41" spans="1:15">
      <c r="C41" s="157" t="s">
        <v>235</v>
      </c>
      <c r="D41" s="157"/>
      <c r="E41" s="157" t="s">
        <v>236</v>
      </c>
      <c r="F41" s="157"/>
    </row>
    <row r="42" spans="1:15">
      <c r="A42" s="113" t="s">
        <v>297</v>
      </c>
      <c r="B42" s="113" t="s">
        <v>140</v>
      </c>
      <c r="C42" s="113" t="s">
        <v>144</v>
      </c>
      <c r="D42" s="113" t="s">
        <v>151</v>
      </c>
      <c r="E42" s="113" t="s">
        <v>144</v>
      </c>
      <c r="F42" s="113" t="s">
        <v>151</v>
      </c>
    </row>
    <row r="43" spans="1:15">
      <c r="A43" s="114" t="s">
        <v>154</v>
      </c>
      <c r="F43" s="106"/>
    </row>
    <row r="44" spans="1:15" ht="16">
      <c r="A44" s="40" t="s">
        <v>141</v>
      </c>
      <c r="B44" s="115" t="s">
        <v>192</v>
      </c>
      <c r="C44" s="130">
        <f>'Data Worksheet'!D167*'Data Worksheet'!D12</f>
        <v>1.9068000000000001E-6</v>
      </c>
      <c r="D44" s="131">
        <f t="shared" ref="D44:D50" si="0">C44/($C$44+$C$48)</f>
        <v>1</v>
      </c>
      <c r="E44" s="130">
        <f>'Data Worksheet'!D167*'ADME Profiler'!C7</f>
        <v>4.1999999999999996E-9</v>
      </c>
      <c r="F44" s="132">
        <f t="shared" ref="F44:F51" si="1">E44/($E$44+$E$48)</f>
        <v>0.31260076397204384</v>
      </c>
    </row>
    <row r="45" spans="1:15" ht="16">
      <c r="A45" s="118" t="s">
        <v>298</v>
      </c>
      <c r="B45" s="8" t="s">
        <v>193</v>
      </c>
      <c r="C45" s="130">
        <f>'Data Worksheet'!D137/('Data Worksheet'!D137+'Data Worksheet'!D138+'Data Worksheet'!D140)*'ADME Profiler'!C44</f>
        <v>3.5421251505709273E-7</v>
      </c>
      <c r="D45" s="132">
        <f t="shared" si="0"/>
        <v>0.18576280420447489</v>
      </c>
      <c r="E45" s="130">
        <f>'Data Worksheet'!D137/('Data Worksheet'!D137+'Data Worksheet'!D138+'Data Worksheet'!D140)*'ADME Profiler'!E44</f>
        <v>7.8020377765879446E-10</v>
      </c>
      <c r="F45" s="132">
        <f t="shared" si="1"/>
        <v>5.8069594511908053E-2</v>
      </c>
    </row>
    <row r="46" spans="1:15" ht="16">
      <c r="A46" s="118" t="s">
        <v>299</v>
      </c>
      <c r="B46" s="8" t="s">
        <v>194</v>
      </c>
      <c r="C46" s="130">
        <f>'Data Worksheet'!D138/('Data Worksheet'!D137+'Data Worksheet'!D138+'Data Worksheet'!D140)*'ADME Profiler'!C44</f>
        <v>3.2044114192023903E-7</v>
      </c>
      <c r="D46" s="132">
        <f t="shared" si="0"/>
        <v>0.1680517840991394</v>
      </c>
      <c r="E46" s="130">
        <f>'Data Worksheet'!D138/('Data Worksheet'!D137+'Data Worksheet'!D138+'Data Worksheet'!D140)*'ADME Profiler'!E44</f>
        <v>7.0581749321638545E-10</v>
      </c>
      <c r="F46" s="132">
        <f t="shared" si="1"/>
        <v>5.2533116096255952E-2</v>
      </c>
    </row>
    <row r="47" spans="1:15" ht="16">
      <c r="A47" s="118" t="s">
        <v>300</v>
      </c>
      <c r="B47" s="8" t="s">
        <v>195</v>
      </c>
      <c r="C47" s="130">
        <f>'Data Worksheet'!D140/('Data Worksheet'!D137+'Data Worksheet'!D138+'Data Worksheet'!D140)*'ADME Profiler'!C44</f>
        <v>1.2321463430226682E-6</v>
      </c>
      <c r="D47" s="132">
        <f t="shared" si="0"/>
        <v>0.64618541169638566</v>
      </c>
      <c r="E47" s="130">
        <f>'Data Worksheet'!D140/('Data Worksheet'!D137+'Data Worksheet'!D138+'Data Worksheet'!D140)*'ADME Profiler'!E44</f>
        <v>2.7139787291248194E-9</v>
      </c>
      <c r="F47" s="132">
        <f t="shared" si="1"/>
        <v>0.20199805336387983</v>
      </c>
    </row>
    <row r="48" spans="1:15" ht="16">
      <c r="A48" s="40" t="s">
        <v>145</v>
      </c>
      <c r="B48" s="115" t="s">
        <v>196</v>
      </c>
      <c r="C48" s="130">
        <f>'Data Worksheet'!D132*'Data Worksheet'!D11*'Data Worksheet'!D150</f>
        <v>0</v>
      </c>
      <c r="D48" s="131">
        <f t="shared" si="0"/>
        <v>0</v>
      </c>
      <c r="E48" s="130">
        <f>'Data Worksheet'!D132*'Data Worksheet'!D11*C9</f>
        <v>9.2356677400046571E-9</v>
      </c>
      <c r="F48" s="132">
        <f t="shared" si="1"/>
        <v>0.68739923602795616</v>
      </c>
    </row>
    <row r="49" spans="1:6" ht="16">
      <c r="A49" s="119" t="s">
        <v>301</v>
      </c>
      <c r="B49" s="120" t="s">
        <v>197</v>
      </c>
      <c r="C49" s="129">
        <f>'Data Worksheet'!D134/('Data Worksheet'!D134+'Data Worksheet'!D135+'Data Worksheet'!D136+'Data Worksheet'!D23)*'ADME Profiler'!C48</f>
        <v>0</v>
      </c>
      <c r="D49" s="133">
        <f t="shared" si="0"/>
        <v>0</v>
      </c>
      <c r="E49" s="130">
        <f>'Data Worksheet'!D134/('Data Worksheet'!D134+'Data Worksheet'!D135+'Data Worksheet'!D136+'Data Worksheet'!D23)*'ADME Profiler'!E48</f>
        <v>7.7456119202645187E-10</v>
      </c>
      <c r="F49" s="133">
        <f t="shared" si="1"/>
        <v>5.7649623897753771E-2</v>
      </c>
    </row>
    <row r="50" spans="1:6" ht="16">
      <c r="A50" s="119" t="s">
        <v>302</v>
      </c>
      <c r="B50" s="120" t="s">
        <v>198</v>
      </c>
      <c r="C50" s="129">
        <f>'Data Worksheet'!D135/('Data Worksheet'!D134+'Data Worksheet'!D135+'Data Worksheet'!D136+'Data Worksheet'!D23)*'ADME Profiler'!C48</f>
        <v>0</v>
      </c>
      <c r="D50" s="133">
        <f t="shared" si="0"/>
        <v>0</v>
      </c>
      <c r="E50" s="130">
        <f>'Data Worksheet'!D135/('Data Worksheet'!D134+'Data Worksheet'!D135+'Data Worksheet'!D136+'Data Worksheet'!D23)*'ADME Profiler'!E48</f>
        <v>8.1420658349795262E-10</v>
      </c>
      <c r="F50" s="133">
        <f t="shared" si="1"/>
        <v>6.0600380960125648E-2</v>
      </c>
    </row>
    <row r="51" spans="1:6" ht="16">
      <c r="A51" s="119" t="s">
        <v>303</v>
      </c>
      <c r="B51" s="120" t="s">
        <v>199</v>
      </c>
      <c r="C51" s="129">
        <f>'Data Worksheet'!D136/('Data Worksheet'!D134+'Data Worksheet'!D135+'Data Worksheet'!D136+'Data Worksheet'!D23)*'ADME Profiler'!C48</f>
        <v>0</v>
      </c>
      <c r="D51" s="133">
        <f>C51/($C$44+$C$48)</f>
        <v>0</v>
      </c>
      <c r="E51" s="130">
        <f>'Data Worksheet'!D136/('Data Worksheet'!D134+'Data Worksheet'!D135+'Data Worksheet'!D136+'Data Worksheet'!D23)*'ADME Profiler'!E48</f>
        <v>6.2205076008979402E-9</v>
      </c>
      <c r="F51" s="133">
        <f t="shared" si="1"/>
        <v>0.46298462579395283</v>
      </c>
    </row>
    <row r="52" spans="1:6">
      <c r="A52" s="114" t="s">
        <v>153</v>
      </c>
      <c r="D52" s="122"/>
      <c r="E52" s="116"/>
      <c r="F52" s="122"/>
    </row>
    <row r="53" spans="1:6" ht="16">
      <c r="A53" s="99" t="s">
        <v>142</v>
      </c>
      <c r="B53" s="120" t="s">
        <v>200</v>
      </c>
      <c r="C53" s="129">
        <f>'Data Worksheet'!D135*'Data Worksheet'!D11*'Data Worksheet'!D151</f>
        <v>3.1746904170350689E-8</v>
      </c>
      <c r="D53" s="133">
        <f t="shared" ref="D53:D60" si="2">C53/($C$44+$C$48)</f>
        <v>1.6649309927811353E-2</v>
      </c>
      <c r="E53" s="130">
        <f>'Data Worksheet'!D135*'Data Worksheet'!D11*C10</f>
        <v>8.9768966294868213E-10</v>
      </c>
      <c r="F53" s="133">
        <f t="shared" ref="F53:F60" si="3">E53/($E$44+$E$48)</f>
        <v>6.6813922487515387E-2</v>
      </c>
    </row>
    <row r="54" spans="1:6" ht="16">
      <c r="A54" s="119" t="s">
        <v>304</v>
      </c>
      <c r="B54" s="123" t="s">
        <v>201</v>
      </c>
      <c r="C54" s="129">
        <f>'Data Worksheet'!D137/('Data Worksheet'!D137+'Data Worksheet'!D138+'Data Worksheet'!D140)*'ADME Profiler'!C53</f>
        <v>5.8973939434950819E-9</v>
      </c>
      <c r="D54" s="133">
        <f t="shared" si="2"/>
        <v>3.09282250025964E-3</v>
      </c>
      <c r="E54" s="130">
        <f>'Data Worksheet'!D137/('Data Worksheet'!D137+'Data Worksheet'!D138+'Data Worksheet'!D140)*'ADME Profiler'!E53</f>
        <v>1.6675734909471708E-10</v>
      </c>
      <c r="F54" s="133">
        <f t="shared" si="3"/>
        <v>1.2411541601181282E-2</v>
      </c>
    </row>
    <row r="55" spans="1:6" ht="16">
      <c r="A55" s="119" t="s">
        <v>299</v>
      </c>
      <c r="B55" s="123" t="s">
        <v>202</v>
      </c>
      <c r="C55" s="129">
        <f>'Data Worksheet'!D138/('Data Worksheet'!D137+'Data Worksheet'!D138+'Data Worksheet'!D140)*'ADME Profiler'!C53</f>
        <v>5.3351238854518419E-9</v>
      </c>
      <c r="D55" s="133">
        <f t="shared" si="2"/>
        <v>2.7979462373882115E-3</v>
      </c>
      <c r="E55" s="130">
        <f>'Data Worksheet'!D138/('Data Worksheet'!D137+'Data Worksheet'!D138+'Data Worksheet'!D140)*'ADME Profiler'!E53</f>
        <v>1.5085834942588116E-10</v>
      </c>
      <c r="F55" s="133">
        <f t="shared" si="3"/>
        <v>1.1228198876688571E-2</v>
      </c>
    </row>
    <row r="56" spans="1:6" ht="16">
      <c r="A56" s="119" t="s">
        <v>300</v>
      </c>
      <c r="B56" s="123" t="s">
        <v>203</v>
      </c>
      <c r="C56" s="129">
        <f>'Data Worksheet'!D140/('Data Worksheet'!D137+'Data Worksheet'!D138+'Data Worksheet'!D140)*'ADME Profiler'!C53</f>
        <v>2.0514386341403765E-8</v>
      </c>
      <c r="D56" s="133">
        <f t="shared" si="2"/>
        <v>1.0758541190163501E-2</v>
      </c>
      <c r="E56" s="130">
        <f>'Data Worksheet'!D140/('Data Worksheet'!D137+'Data Worksheet'!D138+'Data Worksheet'!D140)*'ADME Profiler'!E53</f>
        <v>5.8007396442808384E-10</v>
      </c>
      <c r="F56" s="133">
        <f t="shared" si="3"/>
        <v>4.3174182009645526E-2</v>
      </c>
    </row>
    <row r="57" spans="1:6" ht="16">
      <c r="A57" s="99" t="s">
        <v>143</v>
      </c>
      <c r="B57" s="120" t="s">
        <v>204</v>
      </c>
      <c r="C57" s="129">
        <f>'Data Worksheet'!D137*'Data Worksheet'!D155*'Data Worksheet'!D152</f>
        <v>3.6010990900058768E-7</v>
      </c>
      <c r="D57" s="133">
        <f t="shared" si="2"/>
        <v>0.18885562670473446</v>
      </c>
      <c r="E57" s="130">
        <f>'Data Worksheet'!D137*'Data Worksheet'!D155*C11</f>
        <v>9.4696112675351159E-10</v>
      </c>
      <c r="F57" s="133">
        <f t="shared" si="3"/>
        <v>7.0481136113089329E-2</v>
      </c>
    </row>
    <row r="58" spans="1:6" ht="16">
      <c r="A58" s="119" t="s">
        <v>305</v>
      </c>
      <c r="B58" s="120" t="s">
        <v>206</v>
      </c>
      <c r="C58" s="129">
        <f>'Data Worksheet'!D135/('Data Worksheet'!D134+'Data Worksheet'!D135+'Data Worksheet'!D136+'Data Worksheet'!D23)*'ADME Profiler'!C57</f>
        <v>3.1746904170350683E-8</v>
      </c>
      <c r="D58" s="133">
        <f t="shared" si="2"/>
        <v>1.664930992781135E-2</v>
      </c>
      <c r="E58" s="130">
        <f>'Data Worksheet'!D135/('Data Worksheet'!D134+'Data Worksheet'!D135+'Data Worksheet'!D136+'Data Worksheet'!D23)*'ADME Profiler'!E57</f>
        <v>8.3483079450729519E-11</v>
      </c>
      <c r="F58" s="133">
        <f t="shared" si="3"/>
        <v>6.2135415273897347E-3</v>
      </c>
    </row>
    <row r="59" spans="1:6" ht="16">
      <c r="A59" s="119" t="s">
        <v>301</v>
      </c>
      <c r="B59" s="120" t="s">
        <v>207</v>
      </c>
      <c r="C59" s="129">
        <f>'Data Worksheet'!D134/('Data Worksheet'!D134+'Data Worksheet'!D135+'Data Worksheet'!D136+'Data Worksheet'!D23)*'ADME Profiler'!C57</f>
        <v>3.0201082177074037E-8</v>
      </c>
      <c r="D59" s="133">
        <f t="shared" si="2"/>
        <v>1.5838620818687872E-2</v>
      </c>
      <c r="E59" s="130">
        <f>'Data Worksheet'!D134/('Data Worksheet'!D134+'Data Worksheet'!D135+'Data Worksheet'!D136+'Data Worksheet'!D23)*'ADME Profiler'!E57</f>
        <v>7.9418116782592495E-11</v>
      </c>
      <c r="F59" s="133">
        <f t="shared" si="3"/>
        <v>5.9109914236808126E-3</v>
      </c>
    </row>
    <row r="60" spans="1:6" ht="16">
      <c r="A60" s="119" t="s">
        <v>303</v>
      </c>
      <c r="B60" s="120" t="s">
        <v>323</v>
      </c>
      <c r="C60" s="129">
        <f>'Data Worksheet'!D136/('Data Worksheet'!D134+'Data Worksheet'!D135+'Data Worksheet'!D136+'Data Worksheet'!D23)*'ADME Profiler'!C57</f>
        <v>2.4254515094711407E-7</v>
      </c>
      <c r="D60" s="133">
        <f t="shared" si="2"/>
        <v>0.12720010014008498</v>
      </c>
      <c r="E60" s="130">
        <f>'Data Worksheet'!D136/('Data Worksheet'!D134+'Data Worksheet'!D135+'Data Worksheet'!D136+'Data Worksheet'!D23)*'ADME Profiler'!E57</f>
        <v>6.3780757954401314E-10</v>
      </c>
      <c r="F60" s="133">
        <f t="shared" si="3"/>
        <v>4.747122300776635E-2</v>
      </c>
    </row>
    <row r="61" spans="1:6">
      <c r="A61" s="114" t="s">
        <v>155</v>
      </c>
      <c r="B61" s="120"/>
      <c r="C61" s="108"/>
      <c r="D61" s="121"/>
      <c r="E61" s="116"/>
      <c r="F61" s="121"/>
    </row>
    <row r="62" spans="1:6" ht="16">
      <c r="A62" s="40" t="s">
        <v>147</v>
      </c>
      <c r="B62" s="115" t="s">
        <v>208</v>
      </c>
      <c r="C62" s="130">
        <f>'Data Worksheet'!D136*'Data Worksheet'!D11*'Data Worksheet'!D151</f>
        <v>2.4254515094711417E-7</v>
      </c>
      <c r="D62" s="132">
        <f>C62/($C$44+$C$48)</f>
        <v>0.12720010014008504</v>
      </c>
      <c r="E62" s="130">
        <f>'Data Worksheet'!D136*'Data Worksheet'!D11*C10</f>
        <v>6.8583151804419535E-9</v>
      </c>
      <c r="F62" s="132">
        <f>E62/($E$44+$E$48)</f>
        <v>0.51045584880171924</v>
      </c>
    </row>
    <row r="63" spans="1:6" ht="16">
      <c r="A63" s="40" t="s">
        <v>149</v>
      </c>
      <c r="B63" s="115" t="s">
        <v>209</v>
      </c>
      <c r="C63" s="130">
        <f>'Data Worksheet'!D140*'Data Worksheet'!D155*'Data Worksheet'!D152</f>
        <v>1.2526607293640717E-6</v>
      </c>
      <c r="D63" s="132">
        <f>C63/($C$44+$C$48)</f>
        <v>0.65694395288654905</v>
      </c>
      <c r="E63" s="130">
        <f>'Data Worksheet'!D140*'Data Worksheet'!D155*C11</f>
        <v>3.2940526935529037E-9</v>
      </c>
      <c r="F63" s="132">
        <f>E63/($E$44+$E$48)</f>
        <v>0.24517223537352539</v>
      </c>
    </row>
    <row r="64" spans="1:6">
      <c r="A64" s="124" t="s">
        <v>156</v>
      </c>
      <c r="B64" s="115"/>
      <c r="C64" s="116"/>
      <c r="D64" s="117"/>
      <c r="E64" s="116"/>
      <c r="F64" s="117"/>
    </row>
    <row r="65" spans="1:8" ht="16">
      <c r="A65" s="40" t="s">
        <v>146</v>
      </c>
      <c r="B65" s="115" t="s">
        <v>210</v>
      </c>
      <c r="C65" s="130">
        <f>'Data Worksheet'!D134*'Data Worksheet'!D11*'Data Worksheet'!D151</f>
        <v>3.0201082177074051E-8</v>
      </c>
      <c r="D65" s="132">
        <f>C65/($C$44+$C$48)</f>
        <v>1.5838620818687879E-2</v>
      </c>
      <c r="E65" s="130">
        <f>'Data Worksheet'!D134*'Data Worksheet'!D11*C10</f>
        <v>8.5397930880904449E-10</v>
      </c>
      <c r="F65" s="132">
        <f>E65/($E$44+$E$48)</f>
        <v>6.3560615321434588E-2</v>
      </c>
    </row>
    <row r="66" spans="1:8" ht="16">
      <c r="A66" s="40" t="s">
        <v>150</v>
      </c>
      <c r="B66" s="115" t="s">
        <v>211</v>
      </c>
      <c r="C66" s="130">
        <f>'Data Worksheet'!D138*'Data Worksheet'!D155*'Data Worksheet'!D152</f>
        <v>3.257762658056908E-7</v>
      </c>
      <c r="D66" s="132">
        <f>C66/($C$44+$C$48)</f>
        <v>0.17084973033652759</v>
      </c>
      <c r="E66" s="130">
        <f>'Data Worksheet'!D138*'Data Worksheet'!D155*C11</f>
        <v>8.5667584264226671E-10</v>
      </c>
      <c r="F66" s="132">
        <f>E66/($E$44+$E$48)</f>
        <v>6.376131497294453E-2</v>
      </c>
    </row>
    <row r="67" spans="1:8" ht="16">
      <c r="A67" s="40" t="s">
        <v>148</v>
      </c>
      <c r="B67" s="115" t="s">
        <v>212</v>
      </c>
      <c r="C67" s="130">
        <f>'Data Worksheet'!D23*'Data Worksheet'!D11*'Data Worksheet'!D151</f>
        <v>5.5616771706048923E-8</v>
      </c>
      <c r="D67" s="132">
        <f>C67/($C$44+$C$48)</f>
        <v>2.9167595818150264E-2</v>
      </c>
      <c r="E67" s="130">
        <f>'Data Worksheet'!D23*'Data Worksheet'!D11*C10</f>
        <v>1.5726447145584885E-9</v>
      </c>
      <c r="F67" s="132">
        <f>E67/($E$44+$E$48)</f>
        <v>0.11704998553037628</v>
      </c>
    </row>
    <row r="68" spans="1:8">
      <c r="A68" s="40"/>
      <c r="B68" s="115"/>
      <c r="C68" s="116"/>
      <c r="D68" s="117"/>
      <c r="E68" s="116"/>
      <c r="F68" s="117"/>
    </row>
    <row r="69" spans="1:8">
      <c r="A69" s="40"/>
      <c r="B69" s="115"/>
      <c r="C69" s="116"/>
      <c r="D69" s="117"/>
      <c r="E69" s="116"/>
      <c r="F69" s="117"/>
    </row>
    <row r="70" spans="1:8">
      <c r="C70" s="15" t="s">
        <v>3</v>
      </c>
      <c r="D70" s="15" t="s">
        <v>4</v>
      </c>
      <c r="E70" s="15" t="s">
        <v>3</v>
      </c>
      <c r="F70" s="15" t="s">
        <v>4</v>
      </c>
      <c r="H70" s="15" t="s">
        <v>5</v>
      </c>
    </row>
    <row r="71" spans="1:8">
      <c r="F71" s="125"/>
    </row>
    <row r="72" spans="1:8" ht="13.5" customHeight="1">
      <c r="A72" s="114" t="s">
        <v>311</v>
      </c>
      <c r="B72" s="9" t="s">
        <v>325</v>
      </c>
      <c r="C72" s="134">
        <f>'Data Worksheet'!D132/('Data Worksheet'!D131*(1+'Data Worksheet'!D110*'Data Worksheet'!D164))</f>
        <v>2701.6517702400129</v>
      </c>
      <c r="D72" s="134">
        <f>'Data Worksheet'!E143</f>
        <v>233.3379871057258</v>
      </c>
      <c r="F72" s="125"/>
      <c r="H72" s="80" t="s">
        <v>396</v>
      </c>
    </row>
    <row r="73" spans="1:8" ht="13.25" customHeight="1">
      <c r="A73" s="114" t="s">
        <v>446</v>
      </c>
      <c r="B73" s="127" t="s">
        <v>447</v>
      </c>
      <c r="C73" s="128"/>
      <c r="E73" s="135">
        <f>('Data Worksheet'!D132+'Data Worksheet'!D130*'ADME Profiler'!C7/'ADME Profiler'!C9)/('Data Worksheet'!D131*(1+'Data Worksheet'!D110*'Data Worksheet'!D164))</f>
        <v>2929.8798720295172</v>
      </c>
      <c r="F73" s="134">
        <f>'Standard Error Calculations'!D114</f>
        <v>219.44025698567859</v>
      </c>
      <c r="H73" s="80" t="s">
        <v>396</v>
      </c>
    </row>
    <row r="74" spans="1:8">
      <c r="E74" s="126"/>
      <c r="F74" s="125"/>
    </row>
    <row r="75" spans="1:8">
      <c r="F75" s="106"/>
    </row>
  </sheetData>
  <sheetProtection algorithmName="SHA-512" hashValue="deDMQvVsNscs2MWHZzsEXF4lXrTNfPVYjmEYaekex6o3utZj81ekjC99zimaK9+F1jQSCjqrh0kOaaW7qo8ORQ==" saltValue="Uh2sKpz47biskjP6tMkcDg==" spinCount="100000" sheet="1" objects="1" scenarios="1"/>
  <mergeCells count="2">
    <mergeCell ref="C41:D41"/>
    <mergeCell ref="E41:F41"/>
  </mergeCells>
  <phoneticPr fontId="23"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orksheet___4"/>
  <dimension ref="A1:D15"/>
  <sheetViews>
    <sheetView zoomScaleNormal="100" workbookViewId="0"/>
  </sheetViews>
  <sheetFormatPr baseColWidth="10" defaultColWidth="9.1640625" defaultRowHeight="14"/>
  <cols>
    <col min="1" max="1" width="37.1640625" style="99" customWidth="1"/>
    <col min="2" max="2" width="19.6640625" style="99" customWidth="1"/>
    <col min="3" max="3" width="18.1640625" style="99" customWidth="1"/>
    <col min="4" max="4" width="23.83203125" style="99" customWidth="1"/>
    <col min="5" max="16384" width="9.1640625" style="99"/>
  </cols>
  <sheetData>
    <row r="1" spans="1:4">
      <c r="A1" s="114" t="s">
        <v>386</v>
      </c>
      <c r="D1" s="40"/>
    </row>
    <row r="2" spans="1:4">
      <c r="A2" s="114"/>
      <c r="D2" s="40"/>
    </row>
    <row r="3" spans="1:4">
      <c r="A3" s="114"/>
      <c r="D3" s="40"/>
    </row>
    <row r="4" spans="1:4">
      <c r="A4" s="114"/>
      <c r="B4" s="15" t="s">
        <v>2</v>
      </c>
      <c r="C4" s="15" t="s">
        <v>591</v>
      </c>
      <c r="D4" s="50" t="s">
        <v>387</v>
      </c>
    </row>
    <row r="5" spans="1:4">
      <c r="A5" s="99" t="s">
        <v>385</v>
      </c>
      <c r="B5" s="24" t="s">
        <v>14</v>
      </c>
      <c r="C5" s="63">
        <v>0.05</v>
      </c>
      <c r="D5" s="40"/>
    </row>
    <row r="6" spans="1:4">
      <c r="D6" s="40"/>
    </row>
    <row r="7" spans="1:4" ht="16">
      <c r="A7" s="80" t="s">
        <v>584</v>
      </c>
      <c r="B7" s="109" t="s">
        <v>133</v>
      </c>
      <c r="C7" s="85">
        <f>IF(_xlfn.T.DIST.RT(('Data Worksheet'!D142-1)/'Data Worksheet'!E142,'Data Worksheet'!D123-2)&lt;0.0001,"&lt; 0.0001",_xlfn.T.DIST.RT(('Data Worksheet'!D142-1)/'Data Worksheet'!E142,'Data Worksheet'!D123-2))</f>
        <v>1</v>
      </c>
      <c r="D7" s="136" t="str">
        <f>IF(OR(C7&lt;$C$5,C7="&lt; 0.0001"), "Yes", "No")</f>
        <v>No</v>
      </c>
    </row>
    <row r="8" spans="1:4" ht="16">
      <c r="A8" s="80" t="s">
        <v>585</v>
      </c>
      <c r="B8" s="109" t="s">
        <v>133</v>
      </c>
      <c r="C8" s="85">
        <f>IF((AND('Data Worksheet'!D8="no",_xlfn.T.DIST.RT(('Data Worksheet'!D145-5000)/'Data Worksheet'!E145,MIN('Data Worksheet'!D123-2,10))&gt;=0.0001)),_xlfn.T.DIST.RT(('Data Worksheet'!D145-5000)/'Data Worksheet'!E145,MIN('Data Worksheet'!D123-2,10)),IF((AND('Data Worksheet'!D8="yes",_xlfn.T.DIST.RT(('Data Worksheet'!D145-5000)/'Data Worksheet'!E145,MIN('Data Worksheet'!D123-2,5))&gt;=0.0001)),_xlfn.T.DIST.RT(('Data Worksheet'!D145-5000)/'Data Worksheet'!E145,MIN('Data Worksheet'!D123-2,5)),"&lt; 0.0001"))</f>
        <v>0.9994224821928881</v>
      </c>
      <c r="D8" s="136" t="str">
        <f t="shared" ref="D8:D9" si="0">IF(OR(C8&lt;$C$5,C8="&lt; 0.0001"), "Yes", "No")</f>
        <v>No</v>
      </c>
    </row>
    <row r="9" spans="1:4" ht="16">
      <c r="A9" s="80" t="s">
        <v>586</v>
      </c>
      <c r="B9" s="109" t="s">
        <v>133</v>
      </c>
      <c r="C9" s="85">
        <f>IF((AND('Data Worksheet'!D8="no",_xlfn.T.DIST.RT(('Data Worksheet'!D145-2000)/'Data Worksheet'!E145,MIN('Data Worksheet'!D123-2,10))&gt;=0.0001)),_xlfn.T.DIST.RT(('Data Worksheet'!D145-2000)/'Data Worksheet'!E145,MIN('Data Worksheet'!D123-2,10)),IF((AND('Data Worksheet'!D8="yes",_xlfn.T.DIST.RT(('Data Worksheet'!D145-2000)/'Data Worksheet'!E145,MIN('Data Worksheet'!D123-2,5))&gt;=0.0001)),_xlfn.T.DIST.RT(('Data Worksheet'!D145-2000)/'Data Worksheet'!E145,MIN('Data Worksheet'!D123-2,5)),"&lt; 0.0001"))</f>
        <v>2.1583184711451226E-4</v>
      </c>
      <c r="D9" s="136" t="str">
        <f t="shared" si="0"/>
        <v>Yes</v>
      </c>
    </row>
    <row r="10" spans="1:4">
      <c r="A10" s="40"/>
      <c r="C10" s="40"/>
      <c r="D10" s="40"/>
    </row>
    <row r="11" spans="1:4">
      <c r="D11" s="100"/>
    </row>
    <row r="12" spans="1:4">
      <c r="A12" s="40" t="s">
        <v>388</v>
      </c>
    </row>
    <row r="13" spans="1:4">
      <c r="A13" s="119" t="s">
        <v>389</v>
      </c>
    </row>
    <row r="14" spans="1:4" ht="16">
      <c r="A14" s="118" t="s">
        <v>578</v>
      </c>
    </row>
    <row r="15" spans="1:4" ht="16">
      <c r="A15" s="118" t="s">
        <v>579</v>
      </c>
    </row>
  </sheetData>
  <sheetProtection algorithmName="SHA-512" hashValue="ajZ04u+srkORnaeim5j8xgLMuqUlMElap8qlzt6xMkAJyVUcsRKf+rjThFe+MdTOteU9Zc59Qe/I5PHvnak9+Q==" saltValue="9hG6JXp6WCub64PU0OT96g==" spinCount="100000" sheet="1" objects="1" scenarios="1"/>
  <phoneticPr fontId="2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Worksheet___5"/>
  <dimension ref="A1:F116"/>
  <sheetViews>
    <sheetView zoomScaleNormal="100" workbookViewId="0"/>
  </sheetViews>
  <sheetFormatPr baseColWidth="10" defaultColWidth="9.33203125" defaultRowHeight="14"/>
  <cols>
    <col min="1" max="1" width="51" style="99" customWidth="1"/>
    <col min="2" max="2" width="13.5" style="100" customWidth="1"/>
    <col min="3" max="3" width="26" style="100" customWidth="1"/>
    <col min="4" max="4" width="11.5" style="100" customWidth="1"/>
    <col min="5" max="5" width="12.33203125" style="100" customWidth="1"/>
    <col min="6" max="6" width="93.6640625" style="138" customWidth="1"/>
    <col min="7" max="7" width="12.5" style="99" customWidth="1"/>
    <col min="8" max="16384" width="9.33203125" style="99"/>
  </cols>
  <sheetData>
    <row r="1" spans="1:6">
      <c r="A1" s="15" t="s">
        <v>0</v>
      </c>
      <c r="B1" s="15" t="s">
        <v>1</v>
      </c>
      <c r="C1" s="15" t="s">
        <v>2</v>
      </c>
      <c r="D1" s="15" t="s">
        <v>3</v>
      </c>
      <c r="E1" s="15" t="s">
        <v>6</v>
      </c>
      <c r="F1" s="16" t="s">
        <v>7</v>
      </c>
    </row>
    <row r="2" spans="1:6">
      <c r="A2" s="15"/>
      <c r="B2" s="15"/>
      <c r="C2" s="15"/>
      <c r="D2" s="15"/>
      <c r="E2" s="15"/>
      <c r="F2" s="16"/>
    </row>
    <row r="3" spans="1:6">
      <c r="A3" s="137" t="s">
        <v>226</v>
      </c>
      <c r="B3" s="109"/>
      <c r="C3" s="14"/>
    </row>
    <row r="4" spans="1:6" ht="17">
      <c r="A4" s="137" t="s">
        <v>612</v>
      </c>
    </row>
    <row r="5" spans="1:6">
      <c r="A5" s="99" t="s">
        <v>326</v>
      </c>
      <c r="B5" s="100" t="s">
        <v>219</v>
      </c>
      <c r="C5" s="14" t="s">
        <v>14</v>
      </c>
      <c r="D5" s="139">
        <f>E5</f>
        <v>5.5999999999999997E-9</v>
      </c>
      <c r="E5" s="140">
        <v>5.5999999999999997E-9</v>
      </c>
      <c r="F5" s="138" t="s">
        <v>443</v>
      </c>
    </row>
    <row r="6" spans="1:6">
      <c r="A6" s="99" t="s">
        <v>216</v>
      </c>
      <c r="B6" s="100" t="s">
        <v>221</v>
      </c>
      <c r="C6" s="14" t="s">
        <v>14</v>
      </c>
      <c r="D6" s="139">
        <f>E6</f>
        <v>1.8E-9</v>
      </c>
      <c r="E6" s="140">
        <v>1.8E-9</v>
      </c>
      <c r="F6" s="138" t="s">
        <v>443</v>
      </c>
    </row>
    <row r="7" spans="1:6">
      <c r="A7" s="99" t="s">
        <v>327</v>
      </c>
      <c r="B7" s="100" t="s">
        <v>220</v>
      </c>
      <c r="C7" s="14" t="s">
        <v>14</v>
      </c>
      <c r="D7" s="141">
        <f>E7</f>
        <v>1.9</v>
      </c>
      <c r="E7" s="142">
        <v>1.9</v>
      </c>
      <c r="F7" s="138" t="s">
        <v>443</v>
      </c>
    </row>
    <row r="8" spans="1:6">
      <c r="A8" s="99" t="s">
        <v>217</v>
      </c>
      <c r="B8" s="100" t="s">
        <v>222</v>
      </c>
      <c r="C8" s="14" t="s">
        <v>14</v>
      </c>
      <c r="D8" s="141">
        <f>E8</f>
        <v>0.1</v>
      </c>
      <c r="E8" s="142">
        <v>0.1</v>
      </c>
      <c r="F8" s="138" t="s">
        <v>443</v>
      </c>
    </row>
    <row r="9" spans="1:6">
      <c r="A9" s="99" t="s">
        <v>218</v>
      </c>
      <c r="B9" s="100" t="s">
        <v>223</v>
      </c>
      <c r="C9" s="14" t="s">
        <v>14</v>
      </c>
      <c r="D9" s="143">
        <f>E9</f>
        <v>-8.2000000000000001E-11</v>
      </c>
      <c r="E9" s="144">
        <v>-8.2000000000000001E-11</v>
      </c>
      <c r="F9" s="138" t="s">
        <v>443</v>
      </c>
    </row>
    <row r="10" spans="1:6">
      <c r="C10" s="28"/>
    </row>
    <row r="11" spans="1:6" ht="16">
      <c r="A11" s="114" t="s">
        <v>339</v>
      </c>
      <c r="C11" s="28"/>
    </row>
    <row r="12" spans="1:6" ht="17">
      <c r="A12" s="137" t="s">
        <v>340</v>
      </c>
      <c r="C12" s="28"/>
    </row>
    <row r="13" spans="1:6" s="146" customFormat="1" ht="16">
      <c r="A13" s="99" t="s">
        <v>341</v>
      </c>
      <c r="B13" s="100" t="s">
        <v>342</v>
      </c>
      <c r="C13" s="14" t="s">
        <v>14</v>
      </c>
      <c r="D13" s="145">
        <f t="shared" ref="D13:D17" si="0">E13</f>
        <v>1.78</v>
      </c>
      <c r="E13" s="142">
        <v>1.78</v>
      </c>
      <c r="F13" s="138" t="s">
        <v>338</v>
      </c>
    </row>
    <row r="14" spans="1:6" s="146" customFormat="1" ht="16">
      <c r="A14" s="99" t="s">
        <v>345</v>
      </c>
      <c r="B14" s="100" t="s">
        <v>346</v>
      </c>
      <c r="C14" s="14" t="s">
        <v>14</v>
      </c>
      <c r="D14" s="145">
        <f>E14</f>
        <v>0.06</v>
      </c>
      <c r="E14" s="142">
        <v>0.06</v>
      </c>
      <c r="F14" s="138" t="s">
        <v>338</v>
      </c>
    </row>
    <row r="15" spans="1:6" s="146" customFormat="1" ht="16">
      <c r="A15" s="99" t="s">
        <v>343</v>
      </c>
      <c r="B15" s="100" t="s">
        <v>344</v>
      </c>
      <c r="C15" s="14" t="s">
        <v>14</v>
      </c>
      <c r="D15" s="145">
        <f t="shared" si="0"/>
        <v>152.5</v>
      </c>
      <c r="E15" s="142">
        <v>152.5</v>
      </c>
      <c r="F15" s="138" t="s">
        <v>338</v>
      </c>
    </row>
    <row r="16" spans="1:6" s="146" customFormat="1" ht="16">
      <c r="A16" s="99" t="s">
        <v>347</v>
      </c>
      <c r="B16" s="100" t="s">
        <v>348</v>
      </c>
      <c r="C16" s="14" t="s">
        <v>14</v>
      </c>
      <c r="D16" s="145">
        <f t="shared" si="0"/>
        <v>35.86</v>
      </c>
      <c r="E16" s="142">
        <v>35.86</v>
      </c>
      <c r="F16" s="138" t="s">
        <v>338</v>
      </c>
    </row>
    <row r="17" spans="1:6" s="146" customFormat="1" ht="16">
      <c r="A17" s="99" t="s">
        <v>349</v>
      </c>
      <c r="B17" s="100" t="s">
        <v>350</v>
      </c>
      <c r="C17" s="14" t="s">
        <v>14</v>
      </c>
      <c r="D17" s="145">
        <f t="shared" si="0"/>
        <v>-0.80649999999999999</v>
      </c>
      <c r="E17" s="142">
        <v>-0.80649999999999999</v>
      </c>
      <c r="F17" s="138" t="s">
        <v>338</v>
      </c>
    </row>
    <row r="18" spans="1:6" s="146" customFormat="1">
      <c r="A18" s="99"/>
      <c r="B18" s="100"/>
      <c r="C18" s="14"/>
      <c r="D18" s="145"/>
      <c r="E18" s="147"/>
      <c r="F18" s="148"/>
    </row>
    <row r="19" spans="1:6" s="146" customFormat="1" ht="16">
      <c r="A19" s="114" t="s">
        <v>351</v>
      </c>
      <c r="B19" s="100"/>
      <c r="C19" s="14"/>
      <c r="D19" s="145"/>
      <c r="E19" s="147"/>
      <c r="F19" s="148"/>
    </row>
    <row r="20" spans="1:6" s="146" customFormat="1" ht="16">
      <c r="A20" s="114" t="s">
        <v>352</v>
      </c>
      <c r="B20" s="100"/>
      <c r="C20" s="14"/>
      <c r="D20" s="145"/>
      <c r="E20" s="147"/>
      <c r="F20" s="148"/>
    </row>
    <row r="21" spans="1:6" s="146" customFormat="1" ht="16">
      <c r="A21" s="99" t="s">
        <v>353</v>
      </c>
      <c r="B21" s="100" t="s">
        <v>354</v>
      </c>
      <c r="C21" s="14" t="s">
        <v>14</v>
      </c>
      <c r="D21" s="149">
        <f t="shared" ref="D21:D25" si="1">E21</f>
        <v>-0.26350000000000001</v>
      </c>
      <c r="E21" s="142">
        <v>-0.26350000000000001</v>
      </c>
      <c r="F21" s="72" t="s">
        <v>328</v>
      </c>
    </row>
    <row r="22" spans="1:6" s="146" customFormat="1" ht="16">
      <c r="A22" s="99" t="s">
        <v>442</v>
      </c>
      <c r="B22" s="100" t="s">
        <v>357</v>
      </c>
      <c r="C22" s="14" t="s">
        <v>14</v>
      </c>
      <c r="D22" s="149">
        <f>E22</f>
        <v>5.9991870826614051E-3</v>
      </c>
      <c r="E22" s="150">
        <v>5.9991870826614051E-3</v>
      </c>
      <c r="F22" s="72" t="s">
        <v>328</v>
      </c>
    </row>
    <row r="23" spans="1:6" s="146" customFormat="1" ht="16">
      <c r="A23" s="99" t="s">
        <v>441</v>
      </c>
      <c r="B23" s="100" t="s">
        <v>355</v>
      </c>
      <c r="C23" s="14" t="s">
        <v>14</v>
      </c>
      <c r="D23" s="149">
        <f t="shared" si="1"/>
        <v>3.2736000000000001</v>
      </c>
      <c r="E23" s="150">
        <v>3.2736000000000001</v>
      </c>
      <c r="F23" s="72" t="s">
        <v>328</v>
      </c>
    </row>
    <row r="24" spans="1:6" s="146" customFormat="1" ht="16">
      <c r="A24" s="99" t="s">
        <v>356</v>
      </c>
      <c r="B24" s="100" t="s">
        <v>358</v>
      </c>
      <c r="C24" s="14" t="s">
        <v>14</v>
      </c>
      <c r="D24" s="149">
        <f t="shared" si="1"/>
        <v>1.2858092987783211E-2</v>
      </c>
      <c r="E24" s="150">
        <v>1.2858092987783211E-2</v>
      </c>
      <c r="F24" s="72" t="s">
        <v>328</v>
      </c>
    </row>
    <row r="25" spans="1:6" ht="16">
      <c r="A25" s="99" t="s">
        <v>359</v>
      </c>
      <c r="B25" s="100" t="s">
        <v>360</v>
      </c>
      <c r="C25" s="14" t="s">
        <v>14</v>
      </c>
      <c r="D25" s="143">
        <f t="shared" si="1"/>
        <v>6.4999999999999994E-5</v>
      </c>
      <c r="E25" s="140">
        <v>6.4999999999999994E-5</v>
      </c>
      <c r="F25" s="72" t="s">
        <v>328</v>
      </c>
    </row>
    <row r="26" spans="1:6">
      <c r="A26" s="146"/>
      <c r="B26" s="151"/>
      <c r="C26" s="152"/>
    </row>
    <row r="27" spans="1:6">
      <c r="A27" s="114" t="s">
        <v>213</v>
      </c>
      <c r="D27" s="153"/>
      <c r="E27" s="138"/>
    </row>
    <row r="28" spans="1:6" s="40" customFormat="1" ht="17">
      <c r="A28" s="40" t="s">
        <v>620</v>
      </c>
      <c r="B28" s="28" t="s">
        <v>626</v>
      </c>
      <c r="C28" s="14" t="s">
        <v>133</v>
      </c>
      <c r="D28" s="130">
        <f>EXP('Data Worksheet'!D120)*'Data Worksheet'!D121/('Data Worksheet'!D12^2*'Data Worksheet'!D13*(1-EXP('Data Worksheet'!D121*'Data Worksheet'!D14)))</f>
        <v>-4.0916917225655256</v>
      </c>
      <c r="E28" s="138"/>
      <c r="F28" s="72" t="s">
        <v>644</v>
      </c>
    </row>
    <row r="29" spans="1:6" s="40" customFormat="1" ht="17">
      <c r="A29" s="40" t="s">
        <v>621</v>
      </c>
      <c r="B29" s="28" t="s">
        <v>627</v>
      </c>
      <c r="C29" s="14" t="s">
        <v>133</v>
      </c>
      <c r="D29" s="130">
        <f>EXP('Data Worksheet'!D120)*'Data Worksheet'!D121/('Data Worksheet'!D12*'Data Worksheet'!D13^2*(1-EXP('Data Worksheet'!D121*'Data Worksheet'!D14)))</f>
        <v>-6.1920934734824966</v>
      </c>
      <c r="E29" s="138"/>
      <c r="F29" s="72" t="s">
        <v>645</v>
      </c>
    </row>
    <row r="30" spans="1:6" s="40" customFormat="1" ht="17">
      <c r="A30" s="40" t="s">
        <v>622</v>
      </c>
      <c r="B30" s="28" t="s">
        <v>628</v>
      </c>
      <c r="C30" s="14" t="s">
        <v>133</v>
      </c>
      <c r="D30" s="130">
        <f>-1*EXP('Data Worksheet'!D120)*'Data Worksheet'!D121/('Data Worksheet'!D12*'Data Worksheet'!D13*(1-EXP('Data Worksheet'!D121*'Data Worksheet'!D14)))</f>
        <v>0.18576280420447489</v>
      </c>
      <c r="E30" s="138"/>
      <c r="F30" s="72" t="s">
        <v>646</v>
      </c>
    </row>
    <row r="31" spans="1:6" s="40" customFormat="1" ht="17">
      <c r="A31" s="40" t="s">
        <v>623</v>
      </c>
      <c r="B31" s="28" t="s">
        <v>629</v>
      </c>
      <c r="C31" s="14" t="s">
        <v>133</v>
      </c>
      <c r="D31" s="130">
        <f>-1*EXP('Data Worksheet'!D120)*(1-EXP('Data Worksheet'!D121*'Data Worksheet'!D14)+EXP('Data Worksheet'!D121*'Data Worksheet'!D14)*'Data Worksheet'!D121*'Data Worksheet'!D14)/('Data Worksheet'!D12*'Data Worksheet'!D13*(1-EXP('Data Worksheet'!D121*'Data Worksheet'!D14))^2)</f>
        <v>-0.58373822958307831</v>
      </c>
      <c r="E31" s="138"/>
      <c r="F31" s="72" t="s">
        <v>647</v>
      </c>
    </row>
    <row r="32" spans="1:6" s="40" customFormat="1" ht="17">
      <c r="A32" s="40" t="s">
        <v>624</v>
      </c>
      <c r="B32" s="28" t="s">
        <v>630</v>
      </c>
      <c r="C32" s="14" t="s">
        <v>133</v>
      </c>
      <c r="D32" s="130">
        <f>-1*'Data Worksheet'!D163/(D5*'Data Worksheet'!D163+D7)^2</f>
        <v>-229279.93275000667</v>
      </c>
      <c r="E32" s="138"/>
      <c r="F32" s="72" t="s">
        <v>648</v>
      </c>
    </row>
    <row r="33" spans="1:6" s="40" customFormat="1" ht="17">
      <c r="A33" s="40" t="s">
        <v>625</v>
      </c>
      <c r="B33" s="28" t="s">
        <v>631</v>
      </c>
      <c r="C33" s="14" t="s">
        <v>133</v>
      </c>
      <c r="D33" s="130">
        <f>-1/(D5*'Data Worksheet'!D163+D7)^2</f>
        <v>-0.27565510871680515</v>
      </c>
      <c r="E33" s="138"/>
      <c r="F33" s="72" t="s">
        <v>649</v>
      </c>
    </row>
    <row r="34" spans="1:6" s="40" customFormat="1" ht="17">
      <c r="A34" s="40" t="s">
        <v>465</v>
      </c>
      <c r="B34" s="28" t="s">
        <v>466</v>
      </c>
      <c r="C34" s="14" t="s">
        <v>133</v>
      </c>
      <c r="D34" s="130">
        <f>EXP('Data Worksheet'!D120)*'Data Worksheet'!D121/('Data Worksheet'!D12^2*(1-EXP('Data Worksheet'!D121*'Data Worksheet'!D14)))</f>
        <v>-0.12275075167696577</v>
      </c>
      <c r="E34" s="138"/>
      <c r="F34" s="72" t="s">
        <v>467</v>
      </c>
    </row>
    <row r="35" spans="1:6" s="40" customFormat="1" ht="17">
      <c r="A35" s="40" t="s">
        <v>468</v>
      </c>
      <c r="B35" s="28" t="s">
        <v>469</v>
      </c>
      <c r="C35" s="14" t="s">
        <v>133</v>
      </c>
      <c r="D35" s="130">
        <f>-1*EXP('Data Worksheet'!D120)*'Data Worksheet'!D121/('Data Worksheet'!D12*(1-EXP('Data Worksheet'!D121*'Data Worksheet'!D14)))</f>
        <v>5.5728841261342464E-3</v>
      </c>
      <c r="E35" s="138"/>
      <c r="F35" s="72" t="s">
        <v>470</v>
      </c>
    </row>
    <row r="36" spans="1:6" s="40" customFormat="1" ht="17">
      <c r="A36" s="40" t="s">
        <v>471</v>
      </c>
      <c r="B36" s="28" t="s">
        <v>472</v>
      </c>
      <c r="C36" s="14" t="s">
        <v>133</v>
      </c>
      <c r="D36" s="130">
        <f>-1*EXP('Data Worksheet'!D120)*(1-EXP('Data Worksheet'!D121*'Data Worksheet'!D14)+EXP('Data Worksheet'!D121*'Data Worksheet'!D14)*'Data Worksheet'!D121*'Data Worksheet'!D14)/('Data Worksheet'!D12*(1-EXP('Data Worksheet'!D121*'Data Worksheet'!D14))^2)</f>
        <v>-1.751214688749235E-2</v>
      </c>
      <c r="E36" s="138"/>
      <c r="F36" s="72" t="s">
        <v>473</v>
      </c>
    </row>
    <row r="37" spans="1:6" s="40" customFormat="1" ht="17">
      <c r="A37" s="40" t="s">
        <v>613</v>
      </c>
      <c r="B37" s="28" t="s">
        <v>632</v>
      </c>
      <c r="C37" s="14" t="s">
        <v>133</v>
      </c>
      <c r="D37" s="130">
        <f>(1/(1-'Data Worksheet'!D127)^2)*((1-'Data Worksheet'!D171)*'Data Worksheet'!D17+(1-'Data Worksheet'!D172)*'Data Worksheet'!D18+(1-'Data Worksheet'!D173)*'Data Worksheet'!D162+(1-'Data Worksheet'!D174)*'Data Worksheet'!D19)*'Data Worksheet'!D170</f>
        <v>3.5214949744686934</v>
      </c>
      <c r="E37" s="138"/>
      <c r="F37" s="9" t="s">
        <v>650</v>
      </c>
    </row>
    <row r="38" spans="1:6" s="40" customFormat="1" ht="16">
      <c r="A38" s="40" t="s">
        <v>400</v>
      </c>
      <c r="B38" s="28" t="s">
        <v>417</v>
      </c>
      <c r="C38" s="14" t="s">
        <v>133</v>
      </c>
      <c r="D38" s="130">
        <f>('Data Worksheet'!D127/(1-'Data Worksheet'!D127))*'Data Worksheet'!D166*((1-'Data Worksheet'!D171)*'Data Worksheet'!D17+(1-'Data Worksheet'!D172)*'Data Worksheet'!D18+(1-'Data Worksheet'!D173)*'Data Worksheet'!D162+(1-'Data Worksheet'!D174)*'Data Worksheet'!D19)*('Data Worksheet'!D112/'Data Worksheet'!D113)</f>
        <v>0.729503062824711</v>
      </c>
      <c r="E38" s="138"/>
      <c r="F38" s="9" t="s">
        <v>651</v>
      </c>
    </row>
    <row r="39" spans="1:6" s="40" customFormat="1" ht="17">
      <c r="A39" s="40" t="s">
        <v>614</v>
      </c>
      <c r="B39" s="28" t="s">
        <v>633</v>
      </c>
      <c r="C39" s="14" t="s">
        <v>133</v>
      </c>
      <c r="D39" s="130">
        <f>('Data Worksheet'!D13/(1-'Data Worksheet'!D127)^2)*'Data Worksheet'!D166*((1-'Data Worksheet'!D171)*'Data Worksheet'!D17+(1-'Data Worksheet'!D172)*'Data Worksheet'!D18+(1-'Data Worksheet'!D173)*'Data Worksheet'!D162+(1-'Data Worksheet'!D174)*'Data Worksheet'!D19)*('Data Worksheet'!D112/'Data Worksheet'!D113)</f>
        <v>8.7760271797948902E-2</v>
      </c>
      <c r="E39" s="138"/>
      <c r="F39" s="9" t="s">
        <v>652</v>
      </c>
    </row>
    <row r="40" spans="1:6" s="40" customFormat="1" ht="17">
      <c r="A40" s="40" t="s">
        <v>599</v>
      </c>
      <c r="B40" s="28" t="s">
        <v>600</v>
      </c>
      <c r="C40" s="14" t="s">
        <v>133</v>
      </c>
      <c r="D40" s="130">
        <f>-1*EXP('Data Worksheet'!D120)*'Data Worksheet'!D121/('Data Worksheet'!D12^2*(1-EXP('Data Worksheet'!D121*'Data Worksheet'!D14)))*('Data Worksheet'!D127/(1-'Data Worksheet'!D127))*'Data Worksheet'!D166*((1-'Data Worksheet'!D171)*'Data Worksheet'!D17+(1-'Data Worksheet'!D172)*'Data Worksheet'!D18+(1-'Data Worksheet'!D173)*'Data Worksheet'!D162+(1-'Data Worksheet'!D174)*'Data Worksheet'!D19)*('Data Worksheet'!D112/'Data Worksheet'!D113)</f>
        <v>8.954704931238204E-2</v>
      </c>
      <c r="E40" s="138"/>
      <c r="F40" s="9" t="s">
        <v>678</v>
      </c>
    </row>
    <row r="41" spans="1:6" s="40" customFormat="1" ht="16">
      <c r="A41" s="40" t="s">
        <v>597</v>
      </c>
      <c r="B41" s="28" t="s">
        <v>598</v>
      </c>
      <c r="C41" s="14" t="s">
        <v>133</v>
      </c>
      <c r="D41" s="130">
        <f>('Data Worksheet'!D127/(1-'Data Worksheet'!D127))*'Data Worksheet'!D166*((1-'Data Worksheet'!D171)*'Data Worksheet'!D17+(1-'Data Worksheet'!D172)*'Data Worksheet'!D18+(1-'Data Worksheet'!D173)*'Data Worksheet'!D162+(1-'Data Worksheet'!D174)*'Data Worksheet'!D19)*('Data Worksheet'!D112/'Data Worksheet'!D113)</f>
        <v>0.729503062824711</v>
      </c>
      <c r="E41" s="138"/>
      <c r="F41" s="9" t="s">
        <v>653</v>
      </c>
    </row>
    <row r="42" spans="1:6" s="40" customFormat="1" ht="17">
      <c r="A42" s="40" t="s">
        <v>601</v>
      </c>
      <c r="B42" s="28" t="s">
        <v>602</v>
      </c>
      <c r="C42" s="14" t="s">
        <v>133</v>
      </c>
      <c r="D42" s="130">
        <f>EXP('Data Worksheet'!D120)*'Data Worksheet'!D121/('Data Worksheet'!D12*(1-EXP('Data Worksheet'!D121*'Data Worksheet'!D14)))*('Data Worksheet'!D127/(1-'Data Worksheet'!D127))*'Data Worksheet'!D166*((1-'Data Worksheet'!D171)*'Data Worksheet'!D17+(1-'Data Worksheet'!D172)*'Data Worksheet'!D18+(1-'Data Worksheet'!D173)*'Data Worksheet'!D162+(1-'Data Worksheet'!D174)*'Data Worksheet'!D19)*('Data Worksheet'!D112/'Data Worksheet'!D113)</f>
        <v>-4.0654360387821454E-3</v>
      </c>
      <c r="E42" s="138"/>
      <c r="F42" s="9" t="s">
        <v>679</v>
      </c>
    </row>
    <row r="43" spans="1:6" s="40" customFormat="1" ht="17">
      <c r="A43" s="40" t="s">
        <v>603</v>
      </c>
      <c r="B43" s="28" t="s">
        <v>604</v>
      </c>
      <c r="C43" s="14" t="s">
        <v>133</v>
      </c>
      <c r="D43" s="130">
        <f>(EXP('Data Worksheet'!D120)*('Data Worksheet'!D121*'Data Worksheet'!D14*EXP('Data Worksheet'!D121*'Data Worksheet'!D14)-EXP('Data Worksheet'!D121*'Data Worksheet'!D14)+1)/('Data Worksheet'!D12*(1-EXP('Data Worksheet'!D121*'Data Worksheet'!D14))^2))*('Data Worksheet'!D127/(1-'Data Worksheet'!D127))*'Data Worksheet'!D166*((1-'Data Worksheet'!D171)*'Data Worksheet'!D17+(1-'Data Worksheet'!D172)*'Data Worksheet'!D18+(1-'Data Worksheet'!D173)*'Data Worksheet'!D162+(1-'Data Worksheet'!D174)*'Data Worksheet'!D19)*('Data Worksheet'!D112/'Data Worksheet'!D113)</f>
        <v>1.2775164791061899E-2</v>
      </c>
      <c r="E43" s="138"/>
      <c r="F43" s="72" t="s">
        <v>654</v>
      </c>
    </row>
    <row r="44" spans="1:6" s="40" customFormat="1" ht="17">
      <c r="A44" s="40" t="s">
        <v>615</v>
      </c>
      <c r="B44" s="28" t="s">
        <v>634</v>
      </c>
      <c r="C44" s="14" t="s">
        <v>133</v>
      </c>
      <c r="D44" s="130">
        <f>(('Data Worksheet'!D12*'Data Worksheet'!D13*(1-EXP('Data Worksheet'!D121*'Data Worksheet'!D14))+EXP('Data Worksheet'!D120)*'Data Worksheet'!D121)/('Data Worksheet'!D12*(1-EXP('Data Worksheet'!D121*'Data Worksheet'!D14))))*(1/(1-'Data Worksheet'!D127)^2)*'Data Worksheet'!D166*((1-'Data Worksheet'!D171)*'Data Worksheet'!D17+(1-'Data Worksheet'!D172)*'Data Worksheet'!D18+(1-'Data Worksheet'!D173)*'Data Worksheet'!D162+(1-'Data Worksheet'!D174)*'Data Worksheet'!D19)*('Data Worksheet'!D112/'Data Worksheet'!D113)</f>
        <v>7.1457677611015014E-2</v>
      </c>
      <c r="E44" s="138"/>
      <c r="F44" s="9" t="s">
        <v>655</v>
      </c>
    </row>
    <row r="45" spans="1:6" s="40" customFormat="1" ht="17">
      <c r="A45" s="40" t="s">
        <v>616</v>
      </c>
      <c r="B45" s="28" t="s">
        <v>635</v>
      </c>
      <c r="C45" s="14" t="s">
        <v>133</v>
      </c>
      <c r="D45" s="130">
        <f>('Data Worksheet'!D127/('Data Worksheet'!D129^2*('Data Worksheet'!D127-1)))*((1-'Data Worksheet'!D171)*'Data Worksheet'!D17+(1-'Data Worksheet'!D172)*'Data Worksheet'!D18+(1-'Data Worksheet'!D173)*'Data Worksheet'!D162+(1-'Data Worksheet'!D174)*'Data Worksheet'!D19)*'Data Worksheet'!D170</f>
        <v>-25.448370026631707</v>
      </c>
      <c r="E45" s="138"/>
      <c r="F45" s="72" t="s">
        <v>656</v>
      </c>
    </row>
    <row r="46" spans="1:6" s="40" customFormat="1" ht="17">
      <c r="A46" s="40" t="s">
        <v>617</v>
      </c>
      <c r="B46" s="28" t="s">
        <v>636</v>
      </c>
      <c r="C46" s="14" t="s">
        <v>133</v>
      </c>
      <c r="D46" s="130">
        <f>((1-'Data Worksheet'!D129)/('Data Worksheet'!D129*(1-'Data Worksheet'!D127)^2))*((1-'Data Worksheet'!D171)*'Data Worksheet'!D17+(1-'Data Worksheet'!D172)*'Data Worksheet'!D18+(1-'Data Worksheet'!D173)*'Data Worksheet'!D162+(1-'Data Worksheet'!D174)*'Data Worksheet'!D19)*'Data Worksheet'!D170</f>
        <v>15.435448475806071</v>
      </c>
      <c r="E46" s="138"/>
      <c r="F46" s="72" t="s">
        <v>657</v>
      </c>
    </row>
    <row r="47" spans="1:6" s="40" customFormat="1" ht="17">
      <c r="A47" s="40" t="s">
        <v>402</v>
      </c>
      <c r="B47" s="28" t="s">
        <v>403</v>
      </c>
      <c r="C47" s="14" t="s">
        <v>133</v>
      </c>
      <c r="D47" s="130">
        <f>('Data Worksheet'!D11^(D21-1)*D21*(10^D23))/((D13+D15/'Data Worksheet'!D163)*'Data Worksheet'!D21*'Data Worksheet'!D165)</f>
        <v>-3.9305509503895513</v>
      </c>
      <c r="E47" s="138"/>
      <c r="F47" s="72" t="s">
        <v>401</v>
      </c>
    </row>
    <row r="48" spans="1:6" s="40" customFormat="1" ht="17">
      <c r="A48" s="40" t="s">
        <v>418</v>
      </c>
      <c r="B48" s="28" t="s">
        <v>419</v>
      </c>
      <c r="C48" s="14" t="s">
        <v>133</v>
      </c>
      <c r="D48" s="130">
        <f>-1*('Data Worksheet'!D11^D21)*(10^D23)/((D13+D15/'Data Worksheet'!D163)*'Data Worksheet'!D21^2*'Data Worksheet'!D165)</f>
        <v>-2.4568685480724933E-3</v>
      </c>
      <c r="E48" s="138"/>
      <c r="F48" s="72" t="s">
        <v>420</v>
      </c>
    </row>
    <row r="49" spans="1:6" s="40" customFormat="1" ht="17">
      <c r="A49" s="40" t="s">
        <v>404</v>
      </c>
      <c r="B49" s="28" t="s">
        <v>408</v>
      </c>
      <c r="C49" s="14" t="s">
        <v>133</v>
      </c>
      <c r="D49" s="130">
        <f>-1*('Data Worksheet'!D11^D21)*(10^D23)/((D13+D15/'Data Worksheet'!D163)^2*'Data Worksheet'!D21*'Data Worksheet'!D165)</f>
        <v>-1.1731029117559015E-2</v>
      </c>
      <c r="E49" s="138"/>
      <c r="F49" s="72" t="s">
        <v>412</v>
      </c>
    </row>
    <row r="50" spans="1:6" s="40" customFormat="1" ht="17">
      <c r="A50" s="40" t="s">
        <v>405</v>
      </c>
      <c r="B50" s="28" t="s">
        <v>409</v>
      </c>
      <c r="C50" s="14" t="s">
        <v>133</v>
      </c>
      <c r="D50" s="130">
        <f>-1*('Data Worksheet'!D11^D21)*(10^D23)/((D13+D15/'Data Worksheet'!D163)^2*'Data Worksheet'!D163*'Data Worksheet'!D21*'Data Worksheet'!D165)</f>
        <v>-1.4103799089502493E-8</v>
      </c>
      <c r="E50" s="138"/>
      <c r="F50" s="72" t="s">
        <v>413</v>
      </c>
    </row>
    <row r="51" spans="1:6" s="40" customFormat="1" ht="17">
      <c r="A51" s="40" t="s">
        <v>406</v>
      </c>
      <c r="B51" s="28" t="s">
        <v>410</v>
      </c>
      <c r="C51" s="14" t="s">
        <v>133</v>
      </c>
      <c r="D51" s="130">
        <f>('Data Worksheet'!D11^D21)*LN('Data Worksheet'!D11)*(10^D23)/((D13+D15/'Data Worksheet'!D163)*'Data Worksheet'!D21*'Data Worksheet'!D165)</f>
        <v>-0.13723061833169881</v>
      </c>
      <c r="E51" s="138"/>
      <c r="F51" s="72" t="s">
        <v>414</v>
      </c>
    </row>
    <row r="52" spans="1:6" s="40" customFormat="1" ht="17">
      <c r="A52" s="40" t="s">
        <v>407</v>
      </c>
      <c r="B52" s="28" t="s">
        <v>411</v>
      </c>
      <c r="C52" s="14" t="s">
        <v>133</v>
      </c>
      <c r="D52" s="130">
        <f>('Data Worksheet'!D11^D21)*(10^D23)*LN(10)/((D13+D15/'Data Worksheet'!D163)*'Data Worksheet'!D21*'Data Worksheet'!D165)</f>
        <v>4.8085765601020028E-2</v>
      </c>
      <c r="E52" s="138"/>
      <c r="F52" s="72" t="s">
        <v>415</v>
      </c>
    </row>
    <row r="53" spans="1:6" s="40" customFormat="1" ht="17">
      <c r="A53" s="40" t="s">
        <v>373</v>
      </c>
      <c r="B53" s="28" t="s">
        <v>374</v>
      </c>
      <c r="C53" s="14" t="s">
        <v>133</v>
      </c>
      <c r="D53" s="130">
        <f>('Data Worksheet'!D11^(D21-1)*D21*(10^D23))/((D13+D15/'Data Worksheet'!D163)*'Data Worksheet'!D21*'Data Worksheet'!D165)</f>
        <v>-3.9305509503895513</v>
      </c>
      <c r="E53" s="138"/>
      <c r="F53" s="72" t="s">
        <v>421</v>
      </c>
    </row>
    <row r="54" spans="1:6" s="40" customFormat="1" ht="17">
      <c r="A54" s="40" t="s">
        <v>422</v>
      </c>
      <c r="B54" s="28" t="s">
        <v>423</v>
      </c>
      <c r="C54" s="14" t="s">
        <v>133</v>
      </c>
      <c r="D54" s="130">
        <f>-1*EXP('Data Worksheet'!D120)*'Data Worksheet'!D121/('Data Worksheet'!D12^2*(1-EXP('Data Worksheet'!D121*'Data Worksheet'!D14)))*('Data Worksheet'!D127/(1-'Data Worksheet'!D127))*'Data Worksheet'!D166*((1-'Data Worksheet'!D171)*'Data Worksheet'!D17+(1-'Data Worksheet'!D172)*'Data Worksheet'!D18+(1-'Data Worksheet'!D173)*'Data Worksheet'!D162+(1-'Data Worksheet'!D174)*'Data Worksheet'!D19)*('Data Worksheet'!D112/'Data Worksheet'!D113)</f>
        <v>8.954704931238204E-2</v>
      </c>
      <c r="E54" s="138"/>
      <c r="F54" s="72" t="s">
        <v>658</v>
      </c>
    </row>
    <row r="55" spans="1:6" s="40" customFormat="1" ht="16">
      <c r="A55" s="40" t="s">
        <v>424</v>
      </c>
      <c r="B55" s="28" t="s">
        <v>425</v>
      </c>
      <c r="C55" s="14" t="s">
        <v>133</v>
      </c>
      <c r="D55" s="130">
        <f>('Data Worksheet'!D127/(1-'Data Worksheet'!D127))*'Data Worksheet'!D166*((1-'Data Worksheet'!D171)*'Data Worksheet'!D17+(1-'Data Worksheet'!D172)*'Data Worksheet'!D18+(1-'Data Worksheet'!D173)*'Data Worksheet'!D162+(1-'Data Worksheet'!D174)*'Data Worksheet'!D19)*('Data Worksheet'!D112/'Data Worksheet'!D113)</f>
        <v>0.729503062824711</v>
      </c>
      <c r="E55" s="138"/>
      <c r="F55" s="9" t="s">
        <v>659</v>
      </c>
    </row>
    <row r="56" spans="1:6" s="40" customFormat="1" ht="17">
      <c r="A56" s="40" t="s">
        <v>426</v>
      </c>
      <c r="B56" s="28" t="s">
        <v>427</v>
      </c>
      <c r="C56" s="14" t="s">
        <v>133</v>
      </c>
      <c r="D56" s="130">
        <f>-1*('Data Worksheet'!D11^D21)*(10^D23)/((D13+D15/'Data Worksheet'!D163)*'Data Worksheet'!D21^2*'Data Worksheet'!D165)</f>
        <v>-2.4568685480724933E-3</v>
      </c>
      <c r="E56" s="138"/>
      <c r="F56" s="72" t="s">
        <v>428</v>
      </c>
    </row>
    <row r="57" spans="1:6" s="40" customFormat="1" ht="16">
      <c r="A57" s="40" t="s">
        <v>375</v>
      </c>
      <c r="B57" s="28" t="s">
        <v>376</v>
      </c>
      <c r="C57" s="14" t="s">
        <v>133</v>
      </c>
      <c r="D57" s="116">
        <v>1</v>
      </c>
      <c r="E57" s="138"/>
      <c r="F57" s="8" t="s">
        <v>377</v>
      </c>
    </row>
    <row r="58" spans="1:6" s="40" customFormat="1" ht="17">
      <c r="A58" s="40" t="s">
        <v>618</v>
      </c>
      <c r="B58" s="28" t="s">
        <v>637</v>
      </c>
      <c r="C58" s="14" t="s">
        <v>133</v>
      </c>
      <c r="D58" s="130">
        <f>(1/(1-'Data Worksheet'!D127)^2)*(('Data Worksheet'!D12*'Data Worksheet'!D13*(1-EXP('Data Worksheet'!D121*'Data Worksheet'!D14))+EXP('Data Worksheet'!D120)*'Data Worksheet'!D121)/('Data Worksheet'!D12*(1-EXP('Data Worksheet'!D121*'Data Worksheet'!D14))))*'Data Worksheet'!D166*((1-'Data Worksheet'!D171)*'Data Worksheet'!D17+(1-'Data Worksheet'!D172)*'Data Worksheet'!D18+(1-'Data Worksheet'!D173)*'Data Worksheet'!D162+(1-'Data Worksheet'!D174)*'Data Worksheet'!D19)*('Data Worksheet'!D112/'Data Worksheet'!D113)</f>
        <v>7.1457677611015014E-2</v>
      </c>
      <c r="E58" s="138"/>
      <c r="F58" s="9" t="s">
        <v>660</v>
      </c>
    </row>
    <row r="59" spans="1:6" s="40" customFormat="1" ht="17">
      <c r="A59" s="40" t="s">
        <v>361</v>
      </c>
      <c r="B59" s="28" t="s">
        <v>362</v>
      </c>
      <c r="C59" s="14" t="s">
        <v>133</v>
      </c>
      <c r="D59" s="130">
        <f>-1*('Data Worksheet'!D11^D21)*(10^D23)/((D13+D15/'Data Worksheet'!D163)^2*'Data Worksheet'!D21*'Data Worksheet'!D165)</f>
        <v>-1.1731029117559015E-2</v>
      </c>
      <c r="E59" s="138"/>
      <c r="F59" s="72" t="s">
        <v>363</v>
      </c>
    </row>
    <row r="60" spans="1:6" s="40" customFormat="1" ht="17">
      <c r="A60" s="40" t="s">
        <v>364</v>
      </c>
      <c r="B60" s="28" t="s">
        <v>365</v>
      </c>
      <c r="C60" s="14" t="s">
        <v>133</v>
      </c>
      <c r="D60" s="130">
        <f>-1*('Data Worksheet'!D11^D21)*(10^D23)/((D13+D15/'Data Worksheet'!D163)^2*'Data Worksheet'!D163*'Data Worksheet'!D21*'Data Worksheet'!D165)</f>
        <v>-1.4103799089502493E-8</v>
      </c>
      <c r="E60" s="138"/>
      <c r="F60" s="72" t="s">
        <v>366</v>
      </c>
    </row>
    <row r="61" spans="1:6" s="40" customFormat="1" ht="17">
      <c r="A61" s="40" t="s">
        <v>367</v>
      </c>
      <c r="B61" s="28" t="s">
        <v>368</v>
      </c>
      <c r="C61" s="14" t="s">
        <v>133</v>
      </c>
      <c r="D61" s="130">
        <f>('Data Worksheet'!D11^D21)*LN('Data Worksheet'!D11)*(10^D23)/((D13+D15/'Data Worksheet'!D163)*'Data Worksheet'!D21*'Data Worksheet'!D165)</f>
        <v>-0.13723061833169881</v>
      </c>
      <c r="E61" s="138"/>
      <c r="F61" s="72" t="s">
        <v>369</v>
      </c>
    </row>
    <row r="62" spans="1:6" s="40" customFormat="1" ht="17">
      <c r="A62" s="40" t="s">
        <v>370</v>
      </c>
      <c r="B62" s="28" t="s">
        <v>371</v>
      </c>
      <c r="C62" s="14" t="s">
        <v>133</v>
      </c>
      <c r="D62" s="130">
        <f>('Data Worksheet'!D11^D21)*(10^D23)*LN(10)/((D13+D15/'Data Worksheet'!D163)*'Data Worksheet'!D21*'Data Worksheet'!D165)</f>
        <v>4.8085765601020028E-2</v>
      </c>
      <c r="E62" s="138"/>
      <c r="F62" s="72" t="s">
        <v>372</v>
      </c>
    </row>
    <row r="63" spans="1:6" s="40" customFormat="1" ht="17">
      <c r="A63" s="40" t="s">
        <v>429</v>
      </c>
      <c r="B63" s="28" t="s">
        <v>430</v>
      </c>
      <c r="C63" s="14" t="s">
        <v>133</v>
      </c>
      <c r="D63" s="130">
        <f>(EXP('Data Worksheet'!D120)*'Data Worksheet'!D121/('Data Worksheet'!D12*(1-EXP('Data Worksheet'!D121*'Data Worksheet'!D14))))*('Data Worksheet'!D127/(1-'Data Worksheet'!D127))*'Data Worksheet'!D166*((1-'Data Worksheet'!D171)*'Data Worksheet'!D17+(1-'Data Worksheet'!D172)*'Data Worksheet'!D18+(1-'Data Worksheet'!D173)*'Data Worksheet'!D162+(1-'Data Worksheet'!D174)*'Data Worksheet'!D19)*('Data Worksheet'!D112/'Data Worksheet'!D113)</f>
        <v>-4.0654360387821454E-3</v>
      </c>
      <c r="E63" s="138"/>
      <c r="F63" s="72" t="s">
        <v>661</v>
      </c>
    </row>
    <row r="64" spans="1:6" s="40" customFormat="1" ht="17">
      <c r="A64" s="40" t="s">
        <v>431</v>
      </c>
      <c r="B64" s="28" t="s">
        <v>432</v>
      </c>
      <c r="C64" s="14" t="s">
        <v>133</v>
      </c>
      <c r="D64" s="130">
        <f>(EXP('Data Worksheet'!D120)*('Data Worksheet'!D121*'Data Worksheet'!D14*EXP('Data Worksheet'!D121*'Data Worksheet'!D14)-EXP('Data Worksheet'!D121*'Data Worksheet'!D14)+1)/(1-EXP('Data Worksheet'!D121*'Data Worksheet'!D14))^2)*('Data Worksheet'!D127/('Data Worksheet'!D12*(1-'Data Worksheet'!D127)))*'Data Worksheet'!D166*((1-'Data Worksheet'!D171)*'Data Worksheet'!D17+(1-'Data Worksheet'!D172)*'Data Worksheet'!D18+(1-'Data Worksheet'!D173)*'Data Worksheet'!D162+(1-'Data Worksheet'!D174)*'Data Worksheet'!D19)*('Data Worksheet'!D112/'Data Worksheet'!D113)</f>
        <v>1.2775164791061895E-2</v>
      </c>
      <c r="E64" s="138"/>
      <c r="F64" s="72" t="s">
        <v>662</v>
      </c>
    </row>
    <row r="65" spans="1:6" s="40" customFormat="1" ht="17">
      <c r="A65" s="40" t="s">
        <v>474</v>
      </c>
      <c r="B65" s="28" t="s">
        <v>475</v>
      </c>
      <c r="C65" s="14" t="s">
        <v>133</v>
      </c>
      <c r="D65" s="130">
        <f>-1*('Data Worksheet'!D11^(D21-1)*D21*(10^D23))/((D13+D15/'Data Worksheet'!D163)*'Data Worksheet'!D21*'Data Worksheet'!D165)</f>
        <v>3.9305509503895513</v>
      </c>
      <c r="E65" s="138"/>
      <c r="F65" s="72" t="s">
        <v>476</v>
      </c>
    </row>
    <row r="66" spans="1:6" s="40" customFormat="1" ht="17">
      <c r="A66" s="40" t="s">
        <v>477</v>
      </c>
      <c r="B66" s="28" t="s">
        <v>478</v>
      </c>
      <c r="C66" s="14" t="s">
        <v>133</v>
      </c>
      <c r="D66" s="130">
        <f>EXP('Data Worksheet'!D120)*'Data Worksheet'!D121/('Data Worksheet'!D12^2*(1-EXP('Data Worksheet'!D121*'Data Worksheet'!D14)))*('Data Worksheet'!D127/(1-'Data Worksheet'!D127))*'Data Worksheet'!D166*((1-'Data Worksheet'!D171)*'Data Worksheet'!D17+(1-'Data Worksheet'!D172)*'Data Worksheet'!D18+(1-'Data Worksheet'!D173)*'Data Worksheet'!D162+(1-'Data Worksheet'!D174)*'Data Worksheet'!D19)*('Data Worksheet'!D112/'Data Worksheet'!D113)</f>
        <v>-8.954704931238204E-2</v>
      </c>
      <c r="E66" s="138"/>
      <c r="F66" s="72" t="s">
        <v>663</v>
      </c>
    </row>
    <row r="67" spans="1:6" s="40" customFormat="1" ht="16">
      <c r="A67" s="40" t="s">
        <v>479</v>
      </c>
      <c r="B67" s="28" t="s">
        <v>480</v>
      </c>
      <c r="C67" s="14" t="s">
        <v>133</v>
      </c>
      <c r="D67" s="130">
        <f>-1*('Data Worksheet'!D127/(1-'Data Worksheet'!D127))*'Data Worksheet'!D166*((1-'Data Worksheet'!D171)*'Data Worksheet'!D17+(1-'Data Worksheet'!D172)*'Data Worksheet'!D18+(1-'Data Worksheet'!D173)*'Data Worksheet'!D162+(1-'Data Worksheet'!D174)*'Data Worksheet'!D19)*('Data Worksheet'!D112/'Data Worksheet'!D113)</f>
        <v>-0.729503062824711</v>
      </c>
      <c r="E67" s="138"/>
      <c r="F67" s="9" t="s">
        <v>664</v>
      </c>
    </row>
    <row r="68" spans="1:6" s="40" customFormat="1" ht="17">
      <c r="A68" s="40" t="s">
        <v>481</v>
      </c>
      <c r="B68" s="28" t="s">
        <v>482</v>
      </c>
      <c r="C68" s="14" t="s">
        <v>133</v>
      </c>
      <c r="D68" s="130">
        <f>('Data Worksheet'!D11^D21)*(10^D23)/((D13+D15/'Data Worksheet'!D163)*'Data Worksheet'!D21^2*'Data Worksheet'!D165)</f>
        <v>2.4568685480724933E-3</v>
      </c>
      <c r="E68" s="138"/>
      <c r="F68" s="72" t="s">
        <v>483</v>
      </c>
    </row>
    <row r="69" spans="1:6" s="40" customFormat="1" ht="16">
      <c r="A69" s="40" t="s">
        <v>484</v>
      </c>
      <c r="B69" s="28" t="s">
        <v>485</v>
      </c>
      <c r="C69" s="14" t="s">
        <v>133</v>
      </c>
      <c r="D69" s="116">
        <v>-1</v>
      </c>
      <c r="E69" s="138"/>
      <c r="F69" s="8" t="s">
        <v>486</v>
      </c>
    </row>
    <row r="70" spans="1:6" s="40" customFormat="1" ht="17">
      <c r="A70" s="40" t="s">
        <v>619</v>
      </c>
      <c r="B70" s="28" t="s">
        <v>638</v>
      </c>
      <c r="C70" s="14" t="s">
        <v>133</v>
      </c>
      <c r="D70" s="130">
        <f>-1*(1/(1-'Data Worksheet'!D127)^2)*(('Data Worksheet'!D12*'Data Worksheet'!D13*(1-EXP('Data Worksheet'!D121*'Data Worksheet'!D14))+EXP('Data Worksheet'!D120)*'Data Worksheet'!D121)/('Data Worksheet'!D12*(1-EXP('Data Worksheet'!D121*'Data Worksheet'!D14))))*'Data Worksheet'!D166*((1-'Data Worksheet'!D171)*'Data Worksheet'!D17+(1-'Data Worksheet'!D172)*'Data Worksheet'!D18+(1-'Data Worksheet'!D173)*'Data Worksheet'!D162+(1-'Data Worksheet'!D174)*'Data Worksheet'!D19)*('Data Worksheet'!D112/'Data Worksheet'!D113)</f>
        <v>-7.1457677611015014E-2</v>
      </c>
      <c r="E70" s="138"/>
      <c r="F70" s="9" t="s">
        <v>665</v>
      </c>
    </row>
    <row r="71" spans="1:6" s="40" customFormat="1" ht="17">
      <c r="A71" s="40" t="s">
        <v>487</v>
      </c>
      <c r="B71" s="28" t="s">
        <v>488</v>
      </c>
      <c r="C71" s="14" t="s">
        <v>133</v>
      </c>
      <c r="D71" s="130">
        <f>('Data Worksheet'!D11^D21)*(10^D23)/((D13+D15/'Data Worksheet'!D163)^2*'Data Worksheet'!D21*'Data Worksheet'!D165)</f>
        <v>1.1731029117559015E-2</v>
      </c>
      <c r="E71" s="138"/>
      <c r="F71" s="72" t="s">
        <v>489</v>
      </c>
    </row>
    <row r="72" spans="1:6" s="40" customFormat="1" ht="17">
      <c r="A72" s="40" t="s">
        <v>490</v>
      </c>
      <c r="B72" s="28" t="s">
        <v>491</v>
      </c>
      <c r="C72" s="14" t="s">
        <v>133</v>
      </c>
      <c r="D72" s="130">
        <f>('Data Worksheet'!D11^D21)*(10^D23)/((D13+D15/'Data Worksheet'!D163)^2*'Data Worksheet'!D163*'Data Worksheet'!D21*'Data Worksheet'!D165)</f>
        <v>1.4103799089502493E-8</v>
      </c>
      <c r="E72" s="138"/>
      <c r="F72" s="72" t="s">
        <v>565</v>
      </c>
    </row>
    <row r="73" spans="1:6" s="40" customFormat="1" ht="17">
      <c r="A73" s="40" t="s">
        <v>492</v>
      </c>
      <c r="B73" s="28" t="s">
        <v>493</v>
      </c>
      <c r="C73" s="14" t="s">
        <v>133</v>
      </c>
      <c r="D73" s="130">
        <f>-1*('Data Worksheet'!D11^D21)*LN('Data Worksheet'!D11)*(10^D23)/((D13+D15/'Data Worksheet'!D163)*'Data Worksheet'!D21*'Data Worksheet'!D165)</f>
        <v>0.13723061833169881</v>
      </c>
      <c r="E73" s="138"/>
      <c r="F73" s="72" t="s">
        <v>494</v>
      </c>
    </row>
    <row r="74" spans="1:6" s="40" customFormat="1" ht="17">
      <c r="A74" s="40" t="s">
        <v>495</v>
      </c>
      <c r="B74" s="28" t="s">
        <v>496</v>
      </c>
      <c r="C74" s="14" t="s">
        <v>133</v>
      </c>
      <c r="D74" s="130">
        <f>-1*('Data Worksheet'!D11^D21)*(10^D23)*LN(10)/((D13+D15/'Data Worksheet'!D163)*'Data Worksheet'!D21*'Data Worksheet'!D165)</f>
        <v>-4.8085765601020028E-2</v>
      </c>
      <c r="E74" s="138"/>
      <c r="F74" s="72" t="s">
        <v>497</v>
      </c>
    </row>
    <row r="75" spans="1:6" s="40" customFormat="1" ht="17">
      <c r="A75" s="40" t="s">
        <v>498</v>
      </c>
      <c r="B75" s="28" t="s">
        <v>499</v>
      </c>
      <c r="C75" s="14" t="s">
        <v>133</v>
      </c>
      <c r="D75" s="130">
        <f>-1*(EXP('Data Worksheet'!D120)*'Data Worksheet'!D121/('Data Worksheet'!D12*(1-EXP('Data Worksheet'!D121*'Data Worksheet'!D14))))*('Data Worksheet'!D127/(1-'Data Worksheet'!D127))*'Data Worksheet'!D166*((1-'Data Worksheet'!D171)*'Data Worksheet'!D17+(1-'Data Worksheet'!D172)*'Data Worksheet'!D18+(1-'Data Worksheet'!D173)*'Data Worksheet'!D162+(1-'Data Worksheet'!D174)*'Data Worksheet'!D19)*('Data Worksheet'!D112/'Data Worksheet'!D113)</f>
        <v>4.0654360387821454E-3</v>
      </c>
      <c r="E75" s="138"/>
      <c r="F75" s="72" t="s">
        <v>666</v>
      </c>
    </row>
    <row r="76" spans="1:6" s="40" customFormat="1" ht="17">
      <c r="A76" s="40" t="s">
        <v>500</v>
      </c>
      <c r="B76" s="28" t="s">
        <v>501</v>
      </c>
      <c r="C76" s="14" t="s">
        <v>133</v>
      </c>
      <c r="D76" s="130">
        <f>-1*(EXP('Data Worksheet'!D120)*('Data Worksheet'!D121*'Data Worksheet'!D14*EXP('Data Worksheet'!D121*'Data Worksheet'!D14)-EXP('Data Worksheet'!D121*'Data Worksheet'!D14)+1)/(1-EXP('Data Worksheet'!D121*'Data Worksheet'!D14))^2)*('Data Worksheet'!D127/('Data Worksheet'!D12*(1-'Data Worksheet'!D127)))*'Data Worksheet'!D166*((1-'Data Worksheet'!D171)*'Data Worksheet'!D17+(1-'Data Worksheet'!D172)*'Data Worksheet'!D18+(1-'Data Worksheet'!D173)*'Data Worksheet'!D162+(1-'Data Worksheet'!D174)*'Data Worksheet'!D19)*('Data Worksheet'!D112/'Data Worksheet'!D113)-1</f>
        <v>-1.0127751647910619</v>
      </c>
      <c r="E76" s="138"/>
      <c r="F76" s="72" t="s">
        <v>667</v>
      </c>
    </row>
    <row r="77" spans="1:6" s="40" customFormat="1" ht="17">
      <c r="A77" s="40" t="s">
        <v>502</v>
      </c>
      <c r="B77" s="28" t="s">
        <v>503</v>
      </c>
      <c r="C77" s="14" t="s">
        <v>133</v>
      </c>
      <c r="D77" s="130">
        <f>-1*EXP('Data Worksheet'!D120)/('Data Worksheet'!D12^2*(1-EXP('Data Worksheet'!D121*'Data Worksheet'!D14)))</f>
        <v>-0.50270507002093534</v>
      </c>
      <c r="E77" s="138"/>
      <c r="F77" s="72" t="s">
        <v>504</v>
      </c>
    </row>
    <row r="78" spans="1:6" s="40" customFormat="1" ht="17">
      <c r="A78" s="40" t="s">
        <v>130</v>
      </c>
      <c r="B78" s="28" t="s">
        <v>505</v>
      </c>
      <c r="C78" s="14" t="s">
        <v>133</v>
      </c>
      <c r="D78" s="130">
        <f>EXP('Data Worksheet'!D120)/('Data Worksheet'!D12*(1-EXP('Data Worksheet'!D121*'Data Worksheet'!D14)))</f>
        <v>2.2822810178950464E-2</v>
      </c>
      <c r="E78" s="138"/>
      <c r="F78" s="72" t="s">
        <v>506</v>
      </c>
    </row>
    <row r="79" spans="1:6" s="40" customFormat="1" ht="17">
      <c r="A79" s="40" t="s">
        <v>131</v>
      </c>
      <c r="B79" s="28" t="s">
        <v>454</v>
      </c>
      <c r="C79" s="14" t="s">
        <v>133</v>
      </c>
      <c r="D79" s="130">
        <f>EXP('Data Worksheet'!D120)*'Data Worksheet'!D14*EXP('Data Worksheet'!D121*'Data Worksheet'!D14)/('Data Worksheet'!D12*(1-EXP('Data Worksheet'!D121*'Data Worksheet'!D14))^2)</f>
        <v>2.1748928827871557E-2</v>
      </c>
      <c r="E79" s="138"/>
      <c r="F79" s="72" t="s">
        <v>507</v>
      </c>
    </row>
    <row r="80" spans="1:6" s="40" customFormat="1" ht="17">
      <c r="A80" s="40" t="s">
        <v>536</v>
      </c>
      <c r="B80" s="28" t="s">
        <v>543</v>
      </c>
      <c r="C80" s="14" t="s">
        <v>133</v>
      </c>
      <c r="D80" s="130">
        <f>-1*D21*'Data Worksheet'!D11^(D21-1)*(10^D23)/((D13+D15/'Data Worksheet'!D163)*'Data Worksheet'!D21*'Data Worksheet'!D121*(1+'Data Worksheet'!D110*'Data Worksheet'!D164))</f>
        <v>-510050.64578634501</v>
      </c>
      <c r="E80" s="138"/>
      <c r="F80" s="72" t="s">
        <v>544</v>
      </c>
    </row>
    <row r="81" spans="1:6" s="40" customFormat="1" ht="17">
      <c r="A81" s="40" t="s">
        <v>537</v>
      </c>
      <c r="B81" s="28" t="s">
        <v>545</v>
      </c>
      <c r="C81" s="14" t="s">
        <v>133</v>
      </c>
      <c r="D81" s="130">
        <f>'Data Worksheet'!D11^D21*(10^D23)/((D13+D15/'Data Worksheet'!D163)*'Data Worksheet'!D21^2*'Data Worksheet'!D121*(1+'Data Worksheet'!D110*'Data Worksheet'!D164))</f>
        <v>-318.81723589725749</v>
      </c>
      <c r="E81" s="138"/>
      <c r="F81" s="72" t="s">
        <v>546</v>
      </c>
    </row>
    <row r="82" spans="1:6" s="40" customFormat="1" ht="17">
      <c r="A82" s="40" t="s">
        <v>538</v>
      </c>
      <c r="B82" s="28" t="s">
        <v>547</v>
      </c>
      <c r="C82" s="14" t="s">
        <v>133</v>
      </c>
      <c r="D82" s="130">
        <f>'Data Worksheet'!D11^D21*(10^D23)/((D13+D15/'Data Worksheet'!D163)*'Data Worksheet'!D21*'Data Worksheet'!D121^2*(1+'Data Worksheet'!D110*'Data Worksheet'!D164))</f>
        <v>11098.130390254368</v>
      </c>
      <c r="E82" s="138"/>
      <c r="F82" s="72" t="s">
        <v>548</v>
      </c>
    </row>
    <row r="83" spans="1:6" s="40" customFormat="1" ht="17">
      <c r="A83" s="40" t="s">
        <v>539</v>
      </c>
      <c r="B83" s="28" t="s">
        <v>549</v>
      </c>
      <c r="C83" s="14" t="s">
        <v>133</v>
      </c>
      <c r="D83" s="130">
        <f>'Data Worksheet'!D11^D21*(10^D23)/((D13+D15/'Data Worksheet'!D163)^2*'Data Worksheet'!D21*'Data Worksheet'!D121*(1+'Data Worksheet'!D110*'Data Worksheet'!D164))</f>
        <v>-1522.2850568967651</v>
      </c>
      <c r="E83" s="138"/>
      <c r="F83" s="72" t="s">
        <v>550</v>
      </c>
    </row>
    <row r="84" spans="1:6" s="40" customFormat="1" ht="17">
      <c r="A84" s="40" t="s">
        <v>540</v>
      </c>
      <c r="B84" s="28" t="s">
        <v>551</v>
      </c>
      <c r="C84" s="14" t="s">
        <v>133</v>
      </c>
      <c r="D84" s="130">
        <f>'Data Worksheet'!D11^D21*(10^D23)/('Data Worksheet'!D163*(D13+D15/'Data Worksheet'!D163)^2*'Data Worksheet'!D21*'Data Worksheet'!D121*(1+'Data Worksheet'!D110*'Data Worksheet'!D164))</f>
        <v>-1.8301891832565251E-3</v>
      </c>
      <c r="E84" s="138"/>
      <c r="F84" s="72" t="s">
        <v>552</v>
      </c>
    </row>
    <row r="85" spans="1:6" s="40" customFormat="1" ht="17">
      <c r="A85" s="40" t="s">
        <v>541</v>
      </c>
      <c r="B85" s="28" t="s">
        <v>553</v>
      </c>
      <c r="C85" s="14" t="s">
        <v>133</v>
      </c>
      <c r="D85" s="130">
        <f>-1*('Data Worksheet'!D11^D21)*LN('Data Worksheet'!D11)*(10^D23)/((D13+D15/'Data Worksheet'!D163)*'Data Worksheet'!D21*'Data Worksheet'!D121*(1+'Data Worksheet'!D110*'Data Worksheet'!D164))</f>
        <v>-17807.825514844262</v>
      </c>
      <c r="E85" s="138"/>
      <c r="F85" s="72" t="s">
        <v>554</v>
      </c>
    </row>
    <row r="86" spans="1:6" s="40" customFormat="1" ht="17">
      <c r="A86" s="40" t="s">
        <v>542</v>
      </c>
      <c r="B86" s="28" t="s">
        <v>555</v>
      </c>
      <c r="C86" s="14" t="s">
        <v>133</v>
      </c>
      <c r="D86" s="130">
        <f>-1*('Data Worksheet'!D11^D21)*(10^D23)*LN(10)/((D13+D15/'Data Worksheet'!D163)*'Data Worksheet'!D21*'Data Worksheet'!D121*(1+'Data Worksheet'!D110*'Data Worksheet'!D164))</f>
        <v>6239.8824255160271</v>
      </c>
      <c r="E86" s="138"/>
      <c r="F86" s="72" t="s">
        <v>556</v>
      </c>
    </row>
    <row r="87" spans="1:6" s="40" customFormat="1" ht="16">
      <c r="A87" s="40" t="s">
        <v>566</v>
      </c>
      <c r="B87" s="28" t="s">
        <v>567</v>
      </c>
      <c r="C87" s="14" t="s">
        <v>133</v>
      </c>
      <c r="D87" s="130">
        <f>-1*'Data Worksheet'!D165/('Data Worksheet'!D121*'Data Worksheet'!D163*(1+'Data Worksheet'!D110*'Data Worksheet'!D164))</f>
        <v>0.15601267074830596</v>
      </c>
      <c r="E87" s="72"/>
      <c r="F87" s="72" t="s">
        <v>571</v>
      </c>
    </row>
    <row r="88" spans="1:6" s="40" customFormat="1" ht="17">
      <c r="A88" s="40" t="s">
        <v>538</v>
      </c>
      <c r="B88" s="28" t="s">
        <v>547</v>
      </c>
      <c r="C88" s="14" t="s">
        <v>133</v>
      </c>
      <c r="D88" s="130">
        <f>'Data Worksheet'!D100*('Data Worksheet'!D165/('Data Worksheet'!D121^2*'Data Worksheet'!D163*(1+'Data Worksheet'!D110*'Data Worksheet'!D164)))</f>
        <v>0</v>
      </c>
      <c r="E88" s="72"/>
      <c r="F88" s="72" t="s">
        <v>572</v>
      </c>
    </row>
    <row r="89" spans="1:6" s="40" customFormat="1" ht="16">
      <c r="A89" s="40" t="s">
        <v>448</v>
      </c>
      <c r="B89" s="28" t="s">
        <v>455</v>
      </c>
      <c r="C89" s="14" t="s">
        <v>133</v>
      </c>
      <c r="D89" s="130">
        <f>-1/('Data Worksheet'!D121*(1+'Data Worksheet'!D110*'Data Worksheet'!D164))</f>
        <v>3.8658866369640417</v>
      </c>
      <c r="E89" s="138"/>
      <c r="F89" s="72" t="s">
        <v>459</v>
      </c>
    </row>
    <row r="90" spans="1:6" s="40" customFormat="1" ht="17">
      <c r="A90" s="40" t="s">
        <v>449</v>
      </c>
      <c r="B90" s="28" t="s">
        <v>456</v>
      </c>
      <c r="C90" s="14" t="s">
        <v>133</v>
      </c>
      <c r="D90" s="130">
        <f>-1*EXP('Data Worksheet'!D120)*'ADME Profiler'!C7/('Data Worksheet'!D12^2*'ADME Profiler'!C9*(1-EXP('Data Worksheet'!D121*'Data Worksheet'!D14))*(1+'Data Worksheet'!D110*'Data Worksheet'!D164))</f>
        <v>-5027.0507002093536</v>
      </c>
      <c r="E90" s="138"/>
      <c r="F90" s="72" t="s">
        <v>508</v>
      </c>
    </row>
    <row r="91" spans="1:6" s="40" customFormat="1" ht="17">
      <c r="A91" s="40" t="s">
        <v>450</v>
      </c>
      <c r="B91" s="28" t="s">
        <v>457</v>
      </c>
      <c r="C91" s="14" t="s">
        <v>133</v>
      </c>
      <c r="D91" s="130">
        <f>EXP('Data Worksheet'!D120)*'ADME Profiler'!C7/('Data Worksheet'!D12*'ADME Profiler'!C9*(1-EXP('Data Worksheet'!D121*'Data Worksheet'!D14))*(1+'Data Worksheet'!D110*'Data Worksheet'!D164))</f>
        <v>228.22810178950465</v>
      </c>
      <c r="E91" s="138"/>
      <c r="F91" s="72" t="s">
        <v>509</v>
      </c>
    </row>
    <row r="92" spans="1:6" s="40" customFormat="1" ht="17">
      <c r="A92" s="40" t="s">
        <v>451</v>
      </c>
      <c r="B92" s="28" t="s">
        <v>458</v>
      </c>
      <c r="C92" s="14" t="s">
        <v>133</v>
      </c>
      <c r="D92" s="130">
        <f>('ADME Profiler'!C7*EXP('Data Worksheet'!D120)*'Data Worksheet'!D14*('Data Worksheet'!D121^2)*EXP('Data Worksheet'!D121*'Data Worksheet'!D14)+'Data Worksheet'!D12*'ADME Profiler'!C9*'Data Worksheet'!D132*(EXP(2*'Data Worksheet'!D121*'Data Worksheet'!D14)-2*EXP('Data Worksheet'!D121*'Data Worksheet'!D14)+1))/('Data Worksheet'!D12*'ADME Profiler'!C9*(1+'Data Worksheet'!D110*'Data Worksheet'!D164)*'Data Worksheet'!D121^2*(1-EXP('Data Worksheet'!D121*'Data Worksheet'!D14))^2)</f>
        <v>11281.649986086841</v>
      </c>
      <c r="E92" s="138"/>
      <c r="F92" s="72" t="s">
        <v>510</v>
      </c>
    </row>
    <row r="93" spans="1:6">
      <c r="E93" s="138"/>
    </row>
    <row r="94" spans="1:6">
      <c r="A94" s="114" t="s">
        <v>214</v>
      </c>
      <c r="E94" s="138"/>
    </row>
    <row r="95" spans="1:6" s="40" customFormat="1" ht="17">
      <c r="A95" s="40" t="s">
        <v>639</v>
      </c>
      <c r="B95" s="28" t="s">
        <v>640</v>
      </c>
      <c r="C95" s="14" t="s">
        <v>133</v>
      </c>
      <c r="D95" s="85">
        <f>SQRT((D28*'Data Worksheet'!E12)^2+(D29*'Data Worksheet'!E13)^2+(D30*'Data Worksheet'!E120)^2+(D31*'Data Worksheet'!E121)^2+2*D30*D31*'Data Worksheet'!D122)</f>
        <v>3.2697776722841881E-2</v>
      </c>
      <c r="E95" s="138"/>
      <c r="F95" s="72" t="s">
        <v>668</v>
      </c>
    </row>
    <row r="96" spans="1:6" s="40" customFormat="1" ht="17">
      <c r="A96" s="40" t="s">
        <v>511</v>
      </c>
      <c r="B96" s="28" t="s">
        <v>512</v>
      </c>
      <c r="C96" s="14" t="s">
        <v>133</v>
      </c>
      <c r="D96" s="85">
        <f>SQRT((D34*'Data Worksheet'!E12)^2+(D35*'Data Worksheet'!E120)^2+(D36*'Data Worksheet'!E121)^2+2*D35*D36*'Data Worksheet'!D122)</f>
        <v>9.8093330168525644E-4</v>
      </c>
      <c r="E96" s="138"/>
      <c r="F96" s="72" t="s">
        <v>444</v>
      </c>
    </row>
    <row r="97" spans="1:6" s="40" customFormat="1" ht="16">
      <c r="A97" s="40" t="s">
        <v>513</v>
      </c>
      <c r="B97" s="28" t="s">
        <v>514</v>
      </c>
      <c r="C97" s="14" t="s">
        <v>133</v>
      </c>
      <c r="D97" s="85">
        <f>'Data Worksheet'!E121</f>
        <v>1.8229514480521496E-2</v>
      </c>
      <c r="E97" s="138"/>
      <c r="F97" s="72" t="s">
        <v>515</v>
      </c>
    </row>
    <row r="98" spans="1:6" s="40" customFormat="1" ht="17">
      <c r="A98" s="40" t="s">
        <v>641</v>
      </c>
      <c r="B98" s="28" t="s">
        <v>642</v>
      </c>
      <c r="C98" s="14" t="s">
        <v>133</v>
      </c>
      <c r="D98" s="85">
        <f>IF('Data Worksheet'!D8="yes",'Data Worksheet'!E98,SQRT((D32*D6)^2+(D33*D8)^2+2*D32*D33*D9))</f>
        <v>2.7379966322168412E-2</v>
      </c>
      <c r="E98" s="138"/>
      <c r="F98" s="72" t="s">
        <v>669</v>
      </c>
    </row>
    <row r="99" spans="1:6" s="40" customFormat="1" ht="17">
      <c r="A99" s="40" t="s">
        <v>378</v>
      </c>
      <c r="B99" s="28" t="s">
        <v>433</v>
      </c>
      <c r="C99" s="14" t="s">
        <v>133</v>
      </c>
      <c r="D99" s="85">
        <f>IF('Data Worksheet'!D8="yes",'Data Worksheet'!E99,SQRT((D53*'Data Worksheet'!E11)^2+(D54*'Data Worksheet'!E12)^2+(D55*'Data Worksheet'!E13)^2+(D56*'Data Worksheet'!E21)^2+(D57*'Data Worksheet'!E23)^2+(D58*D98)^2+(D59*D14)^2+(D60*D16)^2+2*D59*D60*D17+(D61*D22)^2+(D62*D24)^2+2*D61*D62*D25+(D63*'Data Worksheet'!E120)^2+(D64*'Data Worksheet'!E121)^2+2*D63*D64*'Data Worksheet'!D122))</f>
        <v>3.4248313042356806E-3</v>
      </c>
      <c r="E99" s="138"/>
      <c r="F99" s="72" t="s">
        <v>670</v>
      </c>
    </row>
    <row r="100" spans="1:6" s="40" customFormat="1" ht="16">
      <c r="A100" s="40" t="s">
        <v>379</v>
      </c>
      <c r="B100" s="28" t="s">
        <v>380</v>
      </c>
      <c r="C100" s="14" t="s">
        <v>133</v>
      </c>
      <c r="D100" s="155">
        <f>D102*'Data Worksheet'!D165</f>
        <v>30.072712663211576</v>
      </c>
      <c r="E100" s="138"/>
      <c r="F100" s="72" t="s">
        <v>381</v>
      </c>
    </row>
    <row r="101" spans="1:6" s="40" customFormat="1" ht="16">
      <c r="A101" s="40" t="s">
        <v>382</v>
      </c>
      <c r="B101" s="28" t="s">
        <v>383</v>
      </c>
      <c r="C101" s="14" t="s">
        <v>133</v>
      </c>
      <c r="D101" s="155">
        <f>D100*'Data Worksheet'!D160</f>
        <v>28.38785735707037</v>
      </c>
      <c r="E101" s="138"/>
      <c r="F101" s="72" t="s">
        <v>564</v>
      </c>
    </row>
    <row r="102" spans="1:6" s="40" customFormat="1" ht="17">
      <c r="A102" s="40" t="s">
        <v>384</v>
      </c>
      <c r="B102" s="28" t="s">
        <v>434</v>
      </c>
      <c r="C102" s="14" t="s">
        <v>133</v>
      </c>
      <c r="D102" s="85">
        <f>IF('Data Worksheet'!D8="yes",'Data Worksheet'!E100*(1/'Data Worksheet'!D163),SQRT((D47*'Data Worksheet'!E11)^2+(D48*'Data Worksheet'!E21)^2+(D49*D14)^2+(D50*D16)^2+2*D49*D50*D17+(D51*D22)^2+(D52*D24)^2+2*D51*D52*D25))</f>
        <v>8.9590476793899808E-4</v>
      </c>
      <c r="E102" s="138"/>
      <c r="F102" s="72" t="s">
        <v>573</v>
      </c>
    </row>
    <row r="103" spans="1:6" s="40" customFormat="1" ht="17">
      <c r="A103" s="40" t="s">
        <v>435</v>
      </c>
      <c r="B103" s="28" t="s">
        <v>436</v>
      </c>
      <c r="C103" s="14" t="s">
        <v>133</v>
      </c>
      <c r="D103" s="85">
        <f>SQRT((D38*'Data Worksheet'!E13)^2+(D39*D98)^2)</f>
        <v>2.4028732862521871E-3</v>
      </c>
      <c r="E103" s="138"/>
      <c r="F103" s="72" t="s">
        <v>671</v>
      </c>
    </row>
    <row r="104" spans="1:6" s="40" customFormat="1" ht="17">
      <c r="A104" s="40" t="s">
        <v>437</v>
      </c>
      <c r="B104" s="28" t="s">
        <v>438</v>
      </c>
      <c r="C104" s="14" t="s">
        <v>133</v>
      </c>
      <c r="D104" s="85">
        <f>IF('Data Worksheet'!D8="yes",SQRT(D97^2+D99^2),SQRT((D65*'Data Worksheet'!E11)^2+(D66*'Data Worksheet'!E12)^2+(D67*'Data Worksheet'!E13)^2+(D68*'Data Worksheet'!E21)^2+(D69*'Data Worksheet'!E23)^2+(D70*D98)^2+(D71*D14)^2+(D72*D16)^2+2*D71*D72*D17+(D73*D22)^2+(D74*D24)^2+2*D73*D74*D25+(D75*'Data Worksheet'!E120)^2+(D76*'Data Worksheet'!E121)^2+2*D75*D76*'Data Worksheet'!D122))</f>
        <v>1.9132315393774284E-2</v>
      </c>
      <c r="E104" s="138"/>
      <c r="F104" s="72" t="s">
        <v>672</v>
      </c>
    </row>
    <row r="105" spans="1:6" s="40" customFormat="1" ht="17">
      <c r="A105" s="40" t="s">
        <v>439</v>
      </c>
      <c r="B105" s="28" t="s">
        <v>440</v>
      </c>
      <c r="C105" s="14" t="s">
        <v>133</v>
      </c>
      <c r="D105" s="85">
        <f>SQRT((D37*D98)^2)</f>
        <v>9.6418413804638142E-2</v>
      </c>
      <c r="E105" s="138"/>
      <c r="F105" s="72" t="s">
        <v>673</v>
      </c>
    </row>
    <row r="106" spans="1:6" s="40" customFormat="1" ht="16">
      <c r="A106" s="40" t="s">
        <v>516</v>
      </c>
      <c r="B106" s="28" t="s">
        <v>517</v>
      </c>
      <c r="C106" s="14" t="s">
        <v>133</v>
      </c>
      <c r="D106" s="154">
        <v>0</v>
      </c>
      <c r="E106" s="138"/>
      <c r="F106" s="72" t="s">
        <v>518</v>
      </c>
    </row>
    <row r="107" spans="1:6" s="40" customFormat="1" ht="17">
      <c r="A107" s="40" t="s">
        <v>595</v>
      </c>
      <c r="B107" s="28" t="s">
        <v>596</v>
      </c>
      <c r="C107" s="14" t="s">
        <v>133</v>
      </c>
      <c r="D107" s="85">
        <f>SQRT((D40*'Data Worksheet'!E12)^2+(D41*'Data Worksheet'!E13)^2+(D42*'Data Worksheet'!E120)^2+(D43*'Data Worksheet'!E121)^2+2*D42*D43*'Data Worksheet'!D122+(D44*D98)^2)</f>
        <v>2.0832669692145778E-3</v>
      </c>
      <c r="E107" s="138"/>
      <c r="F107" s="72" t="s">
        <v>674</v>
      </c>
    </row>
    <row r="108" spans="1:6" s="40" customFormat="1" ht="17">
      <c r="A108" s="40" t="s">
        <v>519</v>
      </c>
      <c r="B108" s="28" t="s">
        <v>520</v>
      </c>
      <c r="C108" s="14" t="s">
        <v>133</v>
      </c>
      <c r="D108" s="85">
        <f>SQRT((D45*D95)^2+(D46*D98)^2)</f>
        <v>0.93327827450721901</v>
      </c>
      <c r="E108" s="138"/>
      <c r="F108" s="72" t="s">
        <v>675</v>
      </c>
    </row>
    <row r="109" spans="1:6" s="40" customFormat="1" ht="17">
      <c r="A109" s="40" t="s">
        <v>125</v>
      </c>
      <c r="B109" s="28" t="s">
        <v>129</v>
      </c>
      <c r="C109" s="14" t="s">
        <v>133</v>
      </c>
      <c r="D109" s="85">
        <f>SQRT((D77*'Data Worksheet'!E12)^2+(D78*'Data Worksheet'!E120)^2+(D79*'Data Worksheet'!E121)^2+2*D78*D79*'Data Worksheet'!D122)</f>
        <v>2.7381257116576708E-3</v>
      </c>
      <c r="E109" s="138"/>
      <c r="F109" s="72" t="s">
        <v>445</v>
      </c>
    </row>
    <row r="110" spans="1:6" s="40" customFormat="1" ht="16">
      <c r="A110" s="40" t="s">
        <v>521</v>
      </c>
      <c r="B110" s="28" t="s">
        <v>522</v>
      </c>
      <c r="C110" s="14" t="s">
        <v>133</v>
      </c>
      <c r="D110" s="85">
        <f>D109*'Data Worksheet'!D149/'Data Worksheet'!D148</f>
        <v>1.4033422937902416E-2</v>
      </c>
      <c r="E110" s="138"/>
      <c r="F110" s="72" t="s">
        <v>523</v>
      </c>
    </row>
    <row r="111" spans="1:6" s="40" customFormat="1" ht="17">
      <c r="A111" s="40" t="s">
        <v>524</v>
      </c>
      <c r="B111" s="28" t="s">
        <v>525</v>
      </c>
      <c r="C111" s="14" t="s">
        <v>133</v>
      </c>
      <c r="D111" s="156">
        <f>IF('Data Worksheet'!D8="yes", SQRT((D87*'Data Worksheet'!E100)^2+(D88*'Data Worksheet'!E121)^2),SQRT((D80*'Data Worksheet'!E11)^2+(D81*'Data Worksheet'!E21)^2+(D82*'Data Worksheet'!E121)^2+(D83*D14)^2+(D84*D16)^2+2*D83*D84*D17+(D85*D22)^2+(D86*D24)^2+2*D85*D86*D25))</f>
        <v>233.3379871057258</v>
      </c>
      <c r="E111" s="138"/>
      <c r="F111" s="72" t="s">
        <v>574</v>
      </c>
    </row>
    <row r="112" spans="1:6" s="40" customFormat="1" ht="16">
      <c r="A112" s="40" t="s">
        <v>526</v>
      </c>
      <c r="B112" s="28" t="s">
        <v>527</v>
      </c>
      <c r="C112" s="14" t="s">
        <v>133</v>
      </c>
      <c r="D112" s="156">
        <f>D111/'Data Worksheet'!D148</f>
        <v>6222.1713742907832</v>
      </c>
      <c r="E112" s="138"/>
      <c r="F112" s="9" t="s">
        <v>528</v>
      </c>
    </row>
    <row r="113" spans="1:6" s="40" customFormat="1" ht="16">
      <c r="A113" s="40" t="s">
        <v>529</v>
      </c>
      <c r="B113" s="28" t="s">
        <v>530</v>
      </c>
      <c r="C113" s="14" t="s">
        <v>133</v>
      </c>
      <c r="D113" s="156">
        <f>0.05*D112</f>
        <v>311.10856871453916</v>
      </c>
      <c r="E113" s="138"/>
      <c r="F113" s="9" t="s">
        <v>531</v>
      </c>
    </row>
    <row r="114" spans="1:6" s="40" customFormat="1" ht="17">
      <c r="A114" s="40" t="s">
        <v>452</v>
      </c>
      <c r="B114" s="28" t="s">
        <v>453</v>
      </c>
      <c r="C114" s="14" t="s">
        <v>133</v>
      </c>
      <c r="D114" s="156">
        <f>SQRT((D89*D100)^2+(D90*'Data Worksheet'!E12)^2+(D91*'Data Worksheet'!E120)^2+(D92*'Data Worksheet'!E121)^2+2*D91*D92*'Data Worksheet'!D122)</f>
        <v>219.44025698567859</v>
      </c>
      <c r="E114" s="138"/>
      <c r="F114" s="72" t="s">
        <v>460</v>
      </c>
    </row>
    <row r="116" spans="1:6">
      <c r="F116" s="148"/>
    </row>
  </sheetData>
  <sheetProtection algorithmName="SHA-512" hashValue="iXQ41IpOOXBmlJ14qF0ccEQa09AE80yId5RU/Nq0ccRZyjQfA2O1xvUkJHkNm0jUWOkVi5N+KteR9VHRa+DIhw==" saltValue="xAuFiPS7ASzF6ZsZMrDtNg==" spinCount="100000" sheet="1" objects="1" scenarios="1"/>
  <phoneticPr fontId="23" type="noConversion"/>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44</vt:i4>
      </vt:variant>
    </vt:vector>
  </HeadingPairs>
  <TitlesOfParts>
    <vt:vector size="49" baseType="lpstr">
      <vt:lpstr>Introduction</vt:lpstr>
      <vt:lpstr>Data Worksheet</vt:lpstr>
      <vt:lpstr>ADME Profiler</vt:lpstr>
      <vt:lpstr>B Potential</vt:lpstr>
      <vt:lpstr>Standard Error Calculations</vt:lpstr>
      <vt:lpstr>BCFBAF.f</vt:lpstr>
      <vt:lpstr>BCFBAF.t</vt:lpstr>
      <vt:lpstr>BE.f</vt:lpstr>
      <vt:lpstr>'ADME Profiler'!BE.t</vt:lpstr>
      <vt:lpstr>BG.f</vt:lpstr>
      <vt:lpstr>BG.kGB.f</vt:lpstr>
      <vt:lpstr>'ADME Profiler'!BG.kGB.t</vt:lpstr>
      <vt:lpstr>BG.kGE.f</vt:lpstr>
      <vt:lpstr>'ADME Profiler'!BG.kGE.t</vt:lpstr>
      <vt:lpstr>BG.kGM.f</vt:lpstr>
      <vt:lpstr>'ADME Profiler'!BG.kGM.t</vt:lpstr>
      <vt:lpstr>'ADME Profiler'!BG.t</vt:lpstr>
      <vt:lpstr>BM.f</vt:lpstr>
      <vt:lpstr>'ADME Profiler'!BM.t</vt:lpstr>
      <vt:lpstr>FI.f</vt:lpstr>
      <vt:lpstr>FI.kGB.f</vt:lpstr>
      <vt:lpstr>'ADME Profiler'!FI.kGB.t</vt:lpstr>
      <vt:lpstr>FI.kGE.f</vt:lpstr>
      <vt:lpstr>'ADME Profiler'!FI.kGE.t</vt:lpstr>
      <vt:lpstr>FI.kGM.f</vt:lpstr>
      <vt:lpstr>'ADME Profiler'!FI.kGM.t</vt:lpstr>
      <vt:lpstr>'ADME Profiler'!FI.t</vt:lpstr>
      <vt:lpstr>GB.f</vt:lpstr>
      <vt:lpstr>GB.kB2.f</vt:lpstr>
      <vt:lpstr>'ADME Profiler'!GB.kB2.t</vt:lpstr>
      <vt:lpstr>GB.kBG.f</vt:lpstr>
      <vt:lpstr>'ADME Profiler'!GB.kBG.t</vt:lpstr>
      <vt:lpstr>GB.kBM.f</vt:lpstr>
      <vt:lpstr>'ADME Profiler'!GB.kBM.t</vt:lpstr>
      <vt:lpstr>'ADME Profiler'!GB.t</vt:lpstr>
      <vt:lpstr>GD.f</vt:lpstr>
      <vt:lpstr>'ADME Profiler'!GD.t</vt:lpstr>
      <vt:lpstr>GE.f</vt:lpstr>
      <vt:lpstr>'ADME Profiler'!GE.t</vt:lpstr>
      <vt:lpstr>GM.f</vt:lpstr>
      <vt:lpstr>'ADME Profiler'!GM.t</vt:lpstr>
      <vt:lpstr>GU.f</vt:lpstr>
      <vt:lpstr>GU.kB2.f</vt:lpstr>
      <vt:lpstr>'ADME Profiler'!GU.kB2.t</vt:lpstr>
      <vt:lpstr>GU.kBG.f</vt:lpstr>
      <vt:lpstr>'ADME Profiler'!GU.kBG.t</vt:lpstr>
      <vt:lpstr>GU.kBM.f</vt:lpstr>
      <vt:lpstr>'ADME Profiler'!GU.kBM.t</vt:lpstr>
      <vt:lpstr>'ADME Profiler'!GU.t</vt:lpstr>
    </vt:vector>
  </TitlesOfParts>
  <Company>Simon Fraser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Frank Gobas</cp:lastModifiedBy>
  <dcterms:created xsi:type="dcterms:W3CDTF">2017-07-19T18:37:49Z</dcterms:created>
  <dcterms:modified xsi:type="dcterms:W3CDTF">2019-08-29T22:16:29Z</dcterms:modified>
</cp:coreProperties>
</file>